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90" windowHeight="11925"/>
  </bookViews>
  <sheets>
    <sheet name="重量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<sst xmlns="http://schemas.openxmlformats.org/spreadsheetml/2006/main" count="79" uniqueCount="48">
  <si>
    <t xml:space="preserve">  面积*厚度=重量计算</t>
  </si>
  <si>
    <t xml:space="preserve">     长*宽*高=重量计算</t>
  </si>
  <si>
    <t>外径</t>
  </si>
  <si>
    <t>内径</t>
  </si>
  <si>
    <t>长度</t>
  </si>
  <si>
    <t>单重</t>
  </si>
  <si>
    <t>长</t>
  </si>
  <si>
    <t>宽</t>
  </si>
  <si>
    <t>高</t>
  </si>
  <si>
    <t>钱</t>
  </si>
  <si>
    <t>重量</t>
  </si>
  <si>
    <t>料重</t>
  </si>
  <si>
    <t>SF1-80-85-90</t>
  </si>
  <si>
    <t>火耗3%</t>
  </si>
  <si>
    <t>利用率</t>
  </si>
  <si>
    <t>火耗5%</t>
  </si>
  <si>
    <t>大面积</t>
  </si>
  <si>
    <t>小面积</t>
  </si>
  <si>
    <t>厚度</t>
  </si>
  <si>
    <t>D</t>
  </si>
  <si>
    <t>L</t>
  </si>
  <si>
    <t>S</t>
  </si>
  <si>
    <t>总钱</t>
  </si>
  <si>
    <t>总重</t>
  </si>
  <si>
    <t>锻件的毛重</t>
  </si>
  <si>
    <t>电镀</t>
  </si>
  <si>
    <t>缸径</t>
  </si>
  <si>
    <t>压力</t>
  </si>
  <si>
    <t>螺栓力</t>
  </si>
  <si>
    <t>数量</t>
  </si>
  <si>
    <t>安全系数</t>
  </si>
  <si>
    <t>杆径</t>
  </si>
  <si>
    <t>直径</t>
  </si>
  <si>
    <t>钱-元</t>
  </si>
  <si>
    <t>厚</t>
  </si>
  <si>
    <t>价</t>
  </si>
  <si>
    <t>缸径 mm</t>
  </si>
  <si>
    <t>杆径 mm</t>
  </si>
  <si>
    <t>行程 mm</t>
  </si>
  <si>
    <t>安装 mm</t>
  </si>
  <si>
    <t>压力 Mpa</t>
  </si>
  <si>
    <t>推力 T</t>
  </si>
  <si>
    <t>拉力 T</t>
  </si>
  <si>
    <t>容积 L</t>
  </si>
  <si>
    <t>部件外径</t>
  </si>
  <si>
    <t>部件内径</t>
  </si>
  <si>
    <t>N</t>
  </si>
  <si>
    <t>轴径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</si>
</sst>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12" borderId="1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13" borderId="13" applyNumberFormat="0" applyAlignment="0" applyProtection="0">
      <alignment vertical="center"/>
    </xf>
    <xf numFmtId="0" fontId="11" fillId="14" borderId="14" applyNumberFormat="0" applyAlignment="0" applyProtection="0">
      <alignment vertical="center"/>
    </xf>
    <xf numFmtId="0" fontId="12" fillId="14" borderId="13" applyNumberFormat="0" applyAlignment="0" applyProtection="0">
      <alignment vertical="center"/>
    </xf>
    <xf numFmtId="0" fontId="13" fillId="15" borderId="15" applyNumberFormat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1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4" borderId="3" xfId="0" applyFill="1" applyBorder="1">
      <alignment vertical="center"/>
    </xf>
    <xf numFmtId="0" fontId="0" fillId="5" borderId="3" xfId="0" applyFill="1" applyBorder="1">
      <alignment vertical="center"/>
    </xf>
    <xf numFmtId="0" fontId="0" fillId="2" borderId="3" xfId="0" applyFill="1" applyBorder="1">
      <alignment vertical="center"/>
    </xf>
    <xf numFmtId="0" fontId="0" fillId="5" borderId="4" xfId="0" applyFill="1" applyBorder="1">
      <alignment vertical="center"/>
    </xf>
    <xf numFmtId="0" fontId="0" fillId="2" borderId="4" xfId="0" applyFill="1" applyBorder="1">
      <alignment vertical="center"/>
    </xf>
    <xf numFmtId="0" fontId="0" fillId="3" borderId="3" xfId="0" applyFill="1" applyBorder="1">
      <alignment vertical="center"/>
    </xf>
    <xf numFmtId="0" fontId="0" fillId="6" borderId="3" xfId="0" applyFill="1" applyBorder="1">
      <alignment vertical="center"/>
    </xf>
    <xf numFmtId="0" fontId="0" fillId="7" borderId="3" xfId="0" applyFill="1" applyBorder="1">
      <alignment vertical="center"/>
    </xf>
    <xf numFmtId="0" fontId="0" fillId="2" borderId="5" xfId="0" applyFill="1" applyBorder="1" applyAlignment="1">
      <alignment horizontal="center" vertical="center"/>
    </xf>
    <xf numFmtId="0" fontId="0" fillId="8" borderId="3" xfId="0" applyFill="1" applyBorder="1">
      <alignment vertical="center"/>
    </xf>
    <xf numFmtId="0" fontId="0" fillId="9" borderId="3" xfId="0" applyFill="1" applyBorder="1">
      <alignment vertical="center"/>
    </xf>
    <xf numFmtId="0" fontId="0" fillId="3" borderId="4" xfId="0" applyFill="1" applyBorder="1">
      <alignment vertical="center"/>
    </xf>
    <xf numFmtId="0" fontId="0" fillId="9" borderId="4" xfId="0" applyFill="1" applyBorder="1">
      <alignment vertical="center"/>
    </xf>
    <xf numFmtId="0" fontId="0" fillId="10" borderId="3" xfId="0" applyFill="1" applyBorder="1">
      <alignment vertical="center"/>
    </xf>
    <xf numFmtId="0" fontId="0" fillId="2" borderId="0" xfId="0" applyFill="1" applyBorder="1">
      <alignment vertic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3" borderId="8" xfId="0" applyFill="1" applyBorder="1">
      <alignment vertical="center"/>
    </xf>
    <xf numFmtId="0" fontId="0" fillId="3" borderId="0" xfId="0" applyFill="1" applyBorder="1">
      <alignment vertical="center"/>
    </xf>
    <xf numFmtId="0" fontId="0" fillId="11" borderId="3" xfId="0" applyFill="1" applyBorder="1">
      <alignment vertical="center"/>
    </xf>
    <xf numFmtId="0" fontId="0" fillId="11" borderId="5" xfId="0" applyFill="1" applyBorder="1">
      <alignment vertical="center"/>
    </xf>
    <xf numFmtId="0" fontId="0" fillId="3" borderId="9" xfId="0" applyFill="1" applyBorder="1" applyAlignment="1">
      <alignment vertical="center"/>
    </xf>
    <xf numFmtId="0" fontId="0" fillId="2" borderId="8" xfId="0" applyFill="1" applyBorder="1">
      <alignment vertical="center"/>
    </xf>
    <xf numFmtId="0" fontId="0" fillId="9" borderId="0" xfId="0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8082;&#21387;&#32568;&#35774;&#35745;&#26657;&#2668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液压缸"/>
      <sheetName val="螺纹长计算"/>
      <sheetName val="参数计算"/>
      <sheetName val="螺栓的保证载荷"/>
      <sheetName val="垂直缸支承环长度计算"/>
      <sheetName val="重量计算"/>
      <sheetName val="油口"/>
      <sheetName val="镗头登记表"/>
      <sheetName val="无缝管"/>
      <sheetName val="三爪卡盘详表"/>
      <sheetName val="美制螺纹"/>
      <sheetName val="黑色金属硬度及强度换算"/>
      <sheetName val="材料比重"/>
      <sheetName val="螺栓锁紧力矩"/>
      <sheetName val="保压密封的设计"/>
      <sheetName val="设备特性表"/>
      <sheetName val="液压缸常用无缝管"/>
      <sheetName val="活塞力计算"/>
      <sheetName val="报价(护帮)"/>
      <sheetName val="报价"/>
      <sheetName val="设计规范"/>
      <sheetName val="预算"/>
      <sheetName val="重量"/>
      <sheetName val="涂层"/>
      <sheetName val="部分油缸汇总"/>
      <sheetName val="方针管理表"/>
      <sheetName val="5key管理表"/>
      <sheetName val="任务代办处表"/>
      <sheetName val="工作计划表"/>
      <sheetName val="电动机参数"/>
      <sheetName val="Sheet31"/>
    </sheetNames>
    <definedNames>
      <definedName name="H121000000" sheetId="5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29"/>
  </sheetPr>
  <dimension ref="A1:L60"/>
  <sheetViews>
    <sheetView tabSelected="1" zoomScaleSheetLayoutView="60" topLeftCell="A40" workbookViewId="0">
      <selection activeCell="N33" sqref="N33"/>
    </sheetView>
  </sheetViews>
  <sheetFormatPr defaultColWidth="9" defaultRowHeight="14.25"/>
  <cols>
    <col min="1" max="1" width="12" customWidth="1"/>
    <col min="2" max="2" width="9.125" customWidth="1"/>
    <col min="3" max="3" width="8.75" customWidth="1"/>
    <col min="4" max="4" width="6.875" customWidth="1"/>
    <col min="5" max="5" width="10.125" customWidth="1"/>
    <col min="6" max="6" width="17.625" customWidth="1"/>
    <col min="7" max="7" width="6.75" customWidth="1"/>
    <col min="8" max="8" width="8" customWidth="1"/>
    <col min="9" max="9" width="5.875" customWidth="1"/>
    <col min="10" max="10" width="6.75" customWidth="1"/>
    <col min="11" max="11" width="7" customWidth="1"/>
    <col min="12" max="12" width="6.875" customWidth="1"/>
  </cols>
  <sheetData>
    <row r="1" spans="1:12">
      <c r="A1" s="1" t="s">
        <v>0</v>
      </c>
      <c r="B1" s="1"/>
      <c r="C1" s="1"/>
      <c r="D1" s="1"/>
      <c r="E1" s="1"/>
      <c r="F1" s="1"/>
      <c r="G1" s="2" t="s">
        <v>1</v>
      </c>
      <c r="H1" s="3"/>
      <c r="I1" s="3"/>
      <c r="J1" s="3"/>
      <c r="K1" s="3"/>
      <c r="L1" s="25"/>
    </row>
    <row r="2" spans="1:12">
      <c r="A2" s="4" t="s">
        <v>2</v>
      </c>
      <c r="B2" s="4" t="s">
        <v>3</v>
      </c>
      <c r="C2" s="4" t="s">
        <v>4</v>
      </c>
      <c r="D2" s="4" t="s">
        <v>5</v>
      </c>
      <c r="E2" s="4"/>
      <c r="F2" s="5"/>
      <c r="G2" s="4" t="s">
        <v>6</v>
      </c>
      <c r="H2" s="4" t="s">
        <v>7</v>
      </c>
      <c r="I2" s="4" t="s">
        <v>8</v>
      </c>
      <c r="J2" s="4" t="s">
        <v>5</v>
      </c>
      <c r="K2" s="4"/>
      <c r="L2" s="11" t="s">
        <v>9</v>
      </c>
    </row>
    <row r="3" spans="1:12">
      <c r="A3" s="6">
        <v>351</v>
      </c>
      <c r="B3" s="6">
        <v>335</v>
      </c>
      <c r="C3" s="6">
        <v>14000</v>
      </c>
      <c r="D3" s="5">
        <f t="shared" ref="D3:D17" si="0">(A3*A3-B3*B3)*C3*3.14*7.85/4000000</f>
        <v>946.915984</v>
      </c>
      <c r="E3" s="6">
        <v>7.5</v>
      </c>
      <c r="F3" s="5"/>
      <c r="G3" s="6">
        <v>140</v>
      </c>
      <c r="H3" s="6">
        <v>140</v>
      </c>
      <c r="I3" s="6">
        <v>50</v>
      </c>
      <c r="J3" s="5" t="e">
        <f>G3*H3*I3*7.85/[1]重量计算!H121000000</f>
        <v>#NAME?</v>
      </c>
      <c r="K3" s="6">
        <v>7.5</v>
      </c>
      <c r="L3" s="5" t="e">
        <f t="shared" ref="L3:L7" si="1">J3*K3</f>
        <v>#NAME?</v>
      </c>
    </row>
    <row r="4" spans="1:12">
      <c r="A4" s="6">
        <v>700</v>
      </c>
      <c r="B4" s="6">
        <v>0</v>
      </c>
      <c r="C4" s="6">
        <v>190</v>
      </c>
      <c r="D4" s="5">
        <f t="shared" si="0"/>
        <v>573.705475</v>
      </c>
      <c r="E4" s="6">
        <v>7.5</v>
      </c>
      <c r="F4" s="5"/>
      <c r="G4" s="6">
        <v>100</v>
      </c>
      <c r="H4" s="6">
        <v>63</v>
      </c>
      <c r="I4" s="6">
        <v>55</v>
      </c>
      <c r="J4" s="5">
        <f t="shared" ref="J4:J12" si="2">G4*H4*I4*7.85/1000000</f>
        <v>2.720025</v>
      </c>
      <c r="K4" s="6">
        <v>7.5</v>
      </c>
      <c r="L4" s="5">
        <f t="shared" si="1"/>
        <v>20.4001875</v>
      </c>
    </row>
    <row r="5" spans="1:12">
      <c r="A5" s="6">
        <v>510</v>
      </c>
      <c r="B5" s="6">
        <v>0</v>
      </c>
      <c r="C5" s="6">
        <v>370</v>
      </c>
      <c r="D5" s="5">
        <f t="shared" si="0"/>
        <v>593.03645325</v>
      </c>
      <c r="E5" s="6">
        <v>5.3</v>
      </c>
      <c r="F5" s="5"/>
      <c r="G5" s="6">
        <v>98</v>
      </c>
      <c r="H5" s="6">
        <v>62</v>
      </c>
      <c r="I5" s="6">
        <v>8</v>
      </c>
      <c r="J5" s="5">
        <f t="shared" si="2"/>
        <v>0.3815728</v>
      </c>
      <c r="K5" s="6">
        <v>5.3</v>
      </c>
      <c r="L5" s="5">
        <f t="shared" si="1"/>
        <v>2.02233584</v>
      </c>
    </row>
    <row r="6" spans="1:12">
      <c r="A6" s="6">
        <v>510</v>
      </c>
      <c r="B6" s="6">
        <v>430</v>
      </c>
      <c r="C6" s="6"/>
      <c r="D6" s="5">
        <f t="shared" si="0"/>
        <v>0</v>
      </c>
      <c r="E6" s="6">
        <v>12</v>
      </c>
      <c r="F6" s="5"/>
      <c r="G6" s="6">
        <v>0</v>
      </c>
      <c r="H6" s="6">
        <v>115</v>
      </c>
      <c r="I6" s="6">
        <v>0</v>
      </c>
      <c r="J6" s="5">
        <f t="shared" si="2"/>
        <v>0</v>
      </c>
      <c r="K6" s="6">
        <v>12</v>
      </c>
      <c r="L6" s="5">
        <f t="shared" si="1"/>
        <v>0</v>
      </c>
    </row>
    <row r="7" spans="1:12">
      <c r="A7" s="6">
        <v>190</v>
      </c>
      <c r="B7" s="6">
        <v>0</v>
      </c>
      <c r="C7" s="6">
        <v>10500</v>
      </c>
      <c r="D7" s="5">
        <f t="shared" si="0"/>
        <v>2335.8008625</v>
      </c>
      <c r="E7" s="6">
        <v>12</v>
      </c>
      <c r="F7" s="5"/>
      <c r="G7" s="6">
        <v>0</v>
      </c>
      <c r="H7" s="6">
        <v>125</v>
      </c>
      <c r="I7" s="6">
        <v>0</v>
      </c>
      <c r="J7" s="5">
        <f t="shared" si="2"/>
        <v>0</v>
      </c>
      <c r="K7" s="6">
        <v>12</v>
      </c>
      <c r="L7" s="5">
        <f t="shared" si="1"/>
        <v>0</v>
      </c>
    </row>
    <row r="8" spans="1:12">
      <c r="A8" s="6">
        <v>250</v>
      </c>
      <c r="B8" s="6"/>
      <c r="C8" s="6"/>
      <c r="D8" s="5">
        <f t="shared" si="0"/>
        <v>0</v>
      </c>
      <c r="E8" s="6">
        <v>12</v>
      </c>
      <c r="F8" s="5"/>
      <c r="G8" s="6"/>
      <c r="H8" s="6">
        <v>27</v>
      </c>
      <c r="I8" s="6">
        <v>0</v>
      </c>
      <c r="J8" s="5">
        <f t="shared" si="2"/>
        <v>0</v>
      </c>
      <c r="K8" s="6"/>
      <c r="L8" s="7"/>
    </row>
    <row r="9" spans="1:12">
      <c r="A9" s="6">
        <v>340</v>
      </c>
      <c r="B9" s="6"/>
      <c r="C9" s="6"/>
      <c r="D9" s="5">
        <f t="shared" si="0"/>
        <v>0</v>
      </c>
      <c r="E9" s="6">
        <v>12</v>
      </c>
      <c r="F9" s="5"/>
      <c r="G9" s="6"/>
      <c r="H9" s="6">
        <v>22.5</v>
      </c>
      <c r="I9" s="6">
        <v>0</v>
      </c>
      <c r="J9" s="5">
        <f t="shared" si="2"/>
        <v>0</v>
      </c>
      <c r="K9" s="6"/>
      <c r="L9" s="7"/>
    </row>
    <row r="10" spans="1:12">
      <c r="A10" s="6">
        <v>250</v>
      </c>
      <c r="B10" s="6"/>
      <c r="C10" s="6"/>
      <c r="D10" s="5">
        <f t="shared" si="0"/>
        <v>0</v>
      </c>
      <c r="E10" s="6">
        <v>12</v>
      </c>
      <c r="F10" s="5"/>
      <c r="G10" s="6"/>
      <c r="H10" s="6"/>
      <c r="I10" s="6"/>
      <c r="J10" s="5">
        <f t="shared" si="2"/>
        <v>0</v>
      </c>
      <c r="K10" s="6"/>
      <c r="L10" s="7"/>
    </row>
    <row r="11" spans="1:12">
      <c r="A11" s="6">
        <v>270</v>
      </c>
      <c r="B11" s="6"/>
      <c r="C11" s="6"/>
      <c r="D11" s="5">
        <f t="shared" si="0"/>
        <v>0</v>
      </c>
      <c r="E11" s="6"/>
      <c r="F11" s="7"/>
      <c r="G11" s="6"/>
      <c r="H11" s="6"/>
      <c r="I11" s="6"/>
      <c r="J11" s="5">
        <f t="shared" si="2"/>
        <v>0</v>
      </c>
      <c r="K11" s="6">
        <v>12</v>
      </c>
      <c r="L11" s="7"/>
    </row>
    <row r="12" spans="1:12">
      <c r="A12" s="6">
        <v>270</v>
      </c>
      <c r="B12" s="6"/>
      <c r="C12" s="6"/>
      <c r="D12" s="5">
        <f t="shared" si="0"/>
        <v>0</v>
      </c>
      <c r="E12" s="6"/>
      <c r="F12" s="7"/>
      <c r="G12" s="8"/>
      <c r="H12" s="8"/>
      <c r="I12" s="8"/>
      <c r="J12" s="5">
        <f t="shared" si="2"/>
        <v>0</v>
      </c>
      <c r="K12" s="6">
        <v>12</v>
      </c>
      <c r="L12" s="10" t="e">
        <f>SUM(L3:L11)</f>
        <v>#NAME?</v>
      </c>
    </row>
    <row r="13" spans="1:11">
      <c r="A13" s="6">
        <v>240</v>
      </c>
      <c r="B13" s="6"/>
      <c r="C13" s="6"/>
      <c r="D13" s="5">
        <f t="shared" si="0"/>
        <v>0</v>
      </c>
      <c r="E13" s="6"/>
      <c r="F13" s="7"/>
      <c r="G13" s="9" t="s">
        <v>10</v>
      </c>
      <c r="H13" s="9"/>
      <c r="I13" s="9">
        <f>SUM(I3:I12)</f>
        <v>113</v>
      </c>
      <c r="J13" s="11" t="e">
        <f>SUM(J3:J12)</f>
        <v>#NAME?</v>
      </c>
      <c r="K13" s="9"/>
    </row>
    <row r="14" spans="1:12">
      <c r="A14" s="6">
        <v>340</v>
      </c>
      <c r="B14" s="6"/>
      <c r="C14" s="6"/>
      <c r="D14" s="5">
        <f t="shared" si="0"/>
        <v>0</v>
      </c>
      <c r="E14" s="6"/>
      <c r="F14" s="7"/>
      <c r="J14">
        <v>-8.331362</v>
      </c>
      <c r="K14" s="12" t="s">
        <v>11</v>
      </c>
      <c r="L14" s="12" t="s">
        <v>11</v>
      </c>
    </row>
    <row r="15" spans="1:12">
      <c r="A15" s="6">
        <v>440</v>
      </c>
      <c r="B15" s="6"/>
      <c r="C15" s="6"/>
      <c r="D15" s="5">
        <f t="shared" si="0"/>
        <v>0</v>
      </c>
      <c r="E15" s="6">
        <v>7.5</v>
      </c>
      <c r="F15" s="7"/>
      <c r="J15" t="e">
        <f>SUM(J13:J14)</f>
        <v>#NAME?</v>
      </c>
      <c r="K15" t="e">
        <f>J15*1.03</f>
        <v>#NAME?</v>
      </c>
      <c r="L15" t="e">
        <f>#REF!/K15</f>
        <v>#REF!</v>
      </c>
    </row>
    <row r="16" spans="1:6">
      <c r="A16" s="6">
        <v>260</v>
      </c>
      <c r="B16" s="6"/>
      <c r="C16" s="6"/>
      <c r="D16" s="5">
        <f t="shared" si="0"/>
        <v>0</v>
      </c>
      <c r="E16" s="6">
        <v>12</v>
      </c>
      <c r="F16" s="7"/>
    </row>
    <row r="17" spans="1:10">
      <c r="A17" s="8"/>
      <c r="B17" s="8"/>
      <c r="C17" s="8"/>
      <c r="D17" s="5">
        <f t="shared" si="0"/>
        <v>0</v>
      </c>
      <c r="E17" s="6">
        <v>12</v>
      </c>
      <c r="F17" s="10"/>
      <c r="J17" t="s">
        <v>12</v>
      </c>
    </row>
    <row r="18" spans="1:6">
      <c r="A18" s="9" t="s">
        <v>10</v>
      </c>
      <c r="B18" s="9"/>
      <c r="C18" s="9">
        <f>SUM(C3:C17)</f>
        <v>25060</v>
      </c>
      <c r="D18" s="11">
        <f>SUM(D3:D17)</f>
        <v>4449.45877475</v>
      </c>
      <c r="E18" s="9">
        <v>60248</v>
      </c>
      <c r="F18">
        <f>SUM(D18:E18)</f>
        <v>64697.45877475</v>
      </c>
    </row>
    <row r="19" spans="1:4">
      <c r="A19" t="s">
        <v>13</v>
      </c>
      <c r="B19" t="s">
        <v>14</v>
      </c>
      <c r="C19" t="s">
        <v>15</v>
      </c>
      <c r="D19" t="s">
        <v>14</v>
      </c>
    </row>
    <row r="20" spans="1:10">
      <c r="A20" s="12" t="s">
        <v>11</v>
      </c>
      <c r="C20" s="12" t="s">
        <v>11</v>
      </c>
      <c r="H20">
        <v>750</v>
      </c>
      <c r="I20">
        <v>550</v>
      </c>
      <c r="J20">
        <v>660</v>
      </c>
    </row>
    <row r="22" spans="1:4">
      <c r="A22">
        <f>D18*1.03</f>
        <v>4582.9425379925</v>
      </c>
      <c r="B22" t="e">
        <f>#REF!/A22</f>
        <v>#REF!</v>
      </c>
      <c r="C22">
        <f>D18*1.05</f>
        <v>4671.9317134875</v>
      </c>
      <c r="D22" t="e">
        <f>#REF!/C22</f>
        <v>#REF!</v>
      </c>
    </row>
    <row r="23" spans="8:8">
      <c r="H23">
        <v>13.47</v>
      </c>
    </row>
    <row r="24" spans="1:8">
      <c r="A24" s="13" t="s">
        <v>16</v>
      </c>
      <c r="B24" s="13" t="s">
        <v>17</v>
      </c>
      <c r="C24" s="13" t="s">
        <v>18</v>
      </c>
      <c r="D24" s="13" t="s">
        <v>5</v>
      </c>
      <c r="E24" s="13"/>
      <c r="F24" s="13" t="s">
        <v>9</v>
      </c>
      <c r="H24">
        <v>12.88</v>
      </c>
    </row>
    <row r="25" spans="1:8">
      <c r="A25" s="9">
        <v>100633</v>
      </c>
      <c r="B25" s="9">
        <v>0</v>
      </c>
      <c r="C25" s="9">
        <v>140</v>
      </c>
      <c r="D25" s="14">
        <f t="shared" ref="D25:D27" si="3">(A25-B25)*C25*7.85/1000000</f>
        <v>110.595667</v>
      </c>
      <c r="E25" s="6">
        <v>6.7</v>
      </c>
      <c r="F25" s="14">
        <f>1.03*D25</f>
        <v>113.91353701</v>
      </c>
      <c r="H25">
        <f>SUM(H23:H24)</f>
        <v>26.35</v>
      </c>
    </row>
    <row r="26" spans="1:6">
      <c r="A26" s="9">
        <v>34940</v>
      </c>
      <c r="B26" s="9">
        <v>0</v>
      </c>
      <c r="C26" s="9">
        <v>140</v>
      </c>
      <c r="D26" s="14">
        <f t="shared" si="3"/>
        <v>38.39906</v>
      </c>
      <c r="E26" s="6"/>
      <c r="F26" s="14"/>
    </row>
    <row r="27" spans="1:6">
      <c r="A27" s="9"/>
      <c r="B27" s="9"/>
      <c r="C27" s="9"/>
      <c r="D27" s="14">
        <f t="shared" si="3"/>
        <v>0</v>
      </c>
      <c r="E27" s="6"/>
      <c r="F27" s="14"/>
    </row>
    <row r="28" spans="1:4">
      <c r="A28" t="s">
        <v>13</v>
      </c>
      <c r="B28" t="s">
        <v>14</v>
      </c>
      <c r="C28" t="s">
        <v>15</v>
      </c>
      <c r="D28" t="s">
        <v>14</v>
      </c>
    </row>
    <row r="29" spans="1:3">
      <c r="A29" s="12" t="s">
        <v>11</v>
      </c>
      <c r="C29" s="12" t="s">
        <v>11</v>
      </c>
    </row>
    <row r="30" spans="1:4">
      <c r="A30">
        <f>D25*1.03</f>
        <v>113.91353701</v>
      </c>
      <c r="B30" t="e">
        <f>#REF!/A30</f>
        <v>#REF!</v>
      </c>
      <c r="C30">
        <f>D25*1.05</f>
        <v>116.12545035</v>
      </c>
      <c r="D30" t="e">
        <f>#REF!/C30</f>
        <v>#REF!</v>
      </c>
    </row>
    <row r="31" spans="1:6">
      <c r="A31" s="9"/>
      <c r="B31" s="9"/>
      <c r="C31" s="9"/>
      <c r="D31" s="14">
        <v>0</v>
      </c>
      <c r="E31" s="6"/>
      <c r="F31" s="14"/>
    </row>
    <row r="32" spans="1:6">
      <c r="A32" s="9"/>
      <c r="B32" s="9"/>
      <c r="C32" s="9"/>
      <c r="D32" s="14">
        <f t="shared" ref="D32:D34" si="4">(A32-B32)*C32*7.85/1000000</f>
        <v>0</v>
      </c>
      <c r="E32" s="6"/>
      <c r="F32" s="14"/>
    </row>
    <row r="33" spans="1:6">
      <c r="A33" s="9"/>
      <c r="B33" s="9"/>
      <c r="C33" s="9"/>
      <c r="D33" s="14">
        <f t="shared" si="4"/>
        <v>0</v>
      </c>
      <c r="E33" s="6"/>
      <c r="F33" s="14"/>
    </row>
    <row r="34" spans="1:10">
      <c r="A34" s="9"/>
      <c r="B34" s="9"/>
      <c r="C34" s="9"/>
      <c r="D34" s="14">
        <f t="shared" si="4"/>
        <v>0</v>
      </c>
      <c r="E34" s="6"/>
      <c r="F34" s="14"/>
      <c r="H34" t="s">
        <v>19</v>
      </c>
      <c r="I34" t="s">
        <v>20</v>
      </c>
      <c r="J34" t="s">
        <v>21</v>
      </c>
    </row>
    <row r="35" spans="1:9">
      <c r="A35" s="9"/>
      <c r="B35" s="9"/>
      <c r="C35" s="9"/>
      <c r="D35" s="14"/>
      <c r="E35" s="6"/>
      <c r="F35" s="14"/>
      <c r="H35">
        <v>100</v>
      </c>
      <c r="I35">
        <v>7000</v>
      </c>
    </row>
    <row r="36" spans="1:6">
      <c r="A36" s="15"/>
      <c r="B36" s="15"/>
      <c r="C36" s="15"/>
      <c r="D36" s="16"/>
      <c r="E36" s="8"/>
      <c r="F36" s="16"/>
    </row>
    <row r="37" spans="1:6">
      <c r="A37" s="9" t="s">
        <v>10</v>
      </c>
      <c r="B37" s="9"/>
      <c r="C37" s="9"/>
      <c r="D37" s="14" t="e">
        <f>SUM(D25:D36)</f>
        <v>#REF!</v>
      </c>
      <c r="E37" s="6"/>
      <c r="F37" s="9"/>
    </row>
    <row r="38" spans="1:12">
      <c r="A38" s="17" t="s">
        <v>22</v>
      </c>
      <c r="B38" s="17"/>
      <c r="C38" s="17"/>
      <c r="D38" s="17"/>
      <c r="E38" s="17"/>
      <c r="F38" s="17"/>
      <c r="G38" s="18"/>
      <c r="H38" s="18"/>
      <c r="I38" s="18"/>
      <c r="J38" s="18"/>
      <c r="K38" s="18"/>
      <c r="L38" s="18"/>
    </row>
    <row r="39" spans="1:12">
      <c r="A39" s="6" t="s">
        <v>23</v>
      </c>
      <c r="B39" s="6"/>
      <c r="C39" s="6"/>
      <c r="D39" s="6" t="e">
        <f>#REF!+#REF!</f>
        <v>#REF!</v>
      </c>
      <c r="E39" s="6"/>
      <c r="G39" s="18"/>
      <c r="H39" s="18"/>
      <c r="I39" s="18"/>
      <c r="J39" s="18"/>
      <c r="K39" s="18"/>
      <c r="L39" s="18"/>
    </row>
    <row r="40" spans="1:12">
      <c r="A40" s="19" t="s">
        <v>24</v>
      </c>
      <c r="B40" s="20"/>
      <c r="C40" s="20"/>
      <c r="D40" s="20"/>
      <c r="E40" t="s">
        <v>13</v>
      </c>
      <c r="G40" s="18"/>
      <c r="H40" s="18"/>
      <c r="I40" s="18"/>
      <c r="J40" s="18"/>
      <c r="K40" s="18"/>
      <c r="L40" s="18"/>
    </row>
    <row r="41" spans="1:12">
      <c r="A41" s="6" t="s">
        <v>16</v>
      </c>
      <c r="B41" s="6" t="s">
        <v>17</v>
      </c>
      <c r="C41" s="6" t="s">
        <v>18</v>
      </c>
      <c r="D41" s="6" t="s">
        <v>5</v>
      </c>
      <c r="E41" s="12" t="s">
        <v>11</v>
      </c>
      <c r="G41" s="18"/>
      <c r="H41" s="18"/>
      <c r="I41" s="18"/>
      <c r="J41" s="18"/>
      <c r="K41" s="18"/>
      <c r="L41" s="18"/>
    </row>
    <row r="42" spans="1:5">
      <c r="A42">
        <v>2993.7</v>
      </c>
      <c r="B42">
        <v>0</v>
      </c>
      <c r="C42">
        <v>120</v>
      </c>
      <c r="D42" s="14">
        <f>(A42-B42)*C42*7.85/1000000</f>
        <v>2.8200654</v>
      </c>
      <c r="E42">
        <f>D42*1.03</f>
        <v>2.904667362</v>
      </c>
    </row>
    <row r="43" spans="7:11">
      <c r="G43" s="13" t="s">
        <v>25</v>
      </c>
      <c r="H43" s="6"/>
      <c r="I43" s="6"/>
      <c r="J43" s="6"/>
      <c r="K43" s="6"/>
    </row>
    <row r="44" spans="1:11">
      <c r="A44" s="21" t="s">
        <v>26</v>
      </c>
      <c r="B44" s="21" t="s">
        <v>27</v>
      </c>
      <c r="C44" s="21" t="s">
        <v>28</v>
      </c>
      <c r="D44" s="21" t="s">
        <v>29</v>
      </c>
      <c r="E44" s="21" t="s">
        <v>30</v>
      </c>
      <c r="F44" s="21" t="s">
        <v>31</v>
      </c>
      <c r="G44" s="6" t="s">
        <v>32</v>
      </c>
      <c r="H44" s="6" t="s">
        <v>4</v>
      </c>
      <c r="I44" s="6">
        <v>4.3</v>
      </c>
      <c r="J44" s="6" t="s">
        <v>33</v>
      </c>
      <c r="K44" s="6"/>
    </row>
    <row r="45" spans="1:11">
      <c r="A45" s="9">
        <v>33</v>
      </c>
      <c r="B45" s="9">
        <v>25</v>
      </c>
      <c r="C45" s="9">
        <v>70000</v>
      </c>
      <c r="D45" s="9">
        <v>18</v>
      </c>
      <c r="E45" s="9">
        <f t="shared" ref="E45:E50" si="5">C45*D45/((A45*A45-S45*S45)*B45)</f>
        <v>46.2809917355372</v>
      </c>
      <c r="F45" s="9">
        <v>0</v>
      </c>
      <c r="G45" s="6">
        <v>100</v>
      </c>
      <c r="H45" s="6">
        <v>7400</v>
      </c>
      <c r="I45" s="6"/>
      <c r="J45" s="6">
        <f>G45*3.14*H45*4.3/10000</f>
        <v>999.148</v>
      </c>
      <c r="K45" s="6"/>
    </row>
    <row r="46" spans="1:12">
      <c r="A46" s="9">
        <v>220</v>
      </c>
      <c r="B46" s="9">
        <v>25</v>
      </c>
      <c r="C46" s="9">
        <v>130000</v>
      </c>
      <c r="D46" s="9">
        <v>24</v>
      </c>
      <c r="E46" s="9">
        <f t="shared" si="5"/>
        <v>2.57851239669421</v>
      </c>
      <c r="F46" s="9">
        <v>0</v>
      </c>
      <c r="G46" s="6" t="s">
        <v>19</v>
      </c>
      <c r="H46" s="6" t="s">
        <v>20</v>
      </c>
      <c r="I46" s="6" t="s">
        <v>21</v>
      </c>
      <c r="J46" s="6" t="s">
        <v>34</v>
      </c>
      <c r="K46" s="6" t="s">
        <v>35</v>
      </c>
      <c r="L46">
        <v>1.15</v>
      </c>
    </row>
    <row r="47" spans="1:12">
      <c r="A47" s="9">
        <v>180</v>
      </c>
      <c r="B47" s="9">
        <v>25</v>
      </c>
      <c r="C47" s="9">
        <v>130000</v>
      </c>
      <c r="D47" s="9">
        <v>16</v>
      </c>
      <c r="E47" s="9">
        <f t="shared" si="5"/>
        <v>2.5679012345679</v>
      </c>
      <c r="F47" s="9"/>
      <c r="G47" s="6">
        <v>100</v>
      </c>
      <c r="H47" s="6">
        <v>740</v>
      </c>
      <c r="I47" s="6">
        <f t="shared" ref="I47:I51" si="6">G47/100*3.14*H47/100</f>
        <v>23.236</v>
      </c>
      <c r="J47" s="6">
        <v>3</v>
      </c>
      <c r="K47" s="6">
        <f t="shared" ref="K47:K51" si="7">I47*J47+I47*0.3</f>
        <v>76.6788</v>
      </c>
      <c r="L47">
        <f t="shared" ref="L47:L51" si="8">K47*$AD$46</f>
        <v>0</v>
      </c>
    </row>
    <row r="48" spans="1:12">
      <c r="A48" s="9">
        <v>140</v>
      </c>
      <c r="B48" s="9">
        <v>25</v>
      </c>
      <c r="C48" s="9">
        <v>130000</v>
      </c>
      <c r="D48" s="9">
        <v>10</v>
      </c>
      <c r="E48" s="9">
        <f t="shared" si="5"/>
        <v>2.6530612244898</v>
      </c>
      <c r="F48" s="9"/>
      <c r="G48" s="6">
        <v>90</v>
      </c>
      <c r="H48" s="6">
        <v>905</v>
      </c>
      <c r="I48" s="6">
        <f t="shared" si="6"/>
        <v>25.5753</v>
      </c>
      <c r="J48" s="6">
        <v>3</v>
      </c>
      <c r="K48" s="6">
        <f t="shared" si="7"/>
        <v>84.39849</v>
      </c>
      <c r="L48">
        <f t="shared" si="8"/>
        <v>0</v>
      </c>
    </row>
    <row r="49" spans="1:12">
      <c r="A49" s="9">
        <v>420</v>
      </c>
      <c r="B49" s="9">
        <v>30</v>
      </c>
      <c r="C49" s="9">
        <v>678000</v>
      </c>
      <c r="D49" s="9">
        <v>24</v>
      </c>
      <c r="E49" s="9">
        <f t="shared" si="5"/>
        <v>3.07482993197279</v>
      </c>
      <c r="F49" s="9"/>
      <c r="G49" s="6">
        <v>110</v>
      </c>
      <c r="H49" s="6">
        <v>7264</v>
      </c>
      <c r="I49" s="6">
        <f t="shared" si="6"/>
        <v>250.89856</v>
      </c>
      <c r="J49" s="6">
        <v>4</v>
      </c>
      <c r="K49" s="6">
        <f t="shared" si="7"/>
        <v>1078.863808</v>
      </c>
      <c r="L49">
        <f t="shared" si="8"/>
        <v>0</v>
      </c>
    </row>
    <row r="50" spans="1:12">
      <c r="A50" s="9">
        <v>420</v>
      </c>
      <c r="B50" s="9">
        <v>7</v>
      </c>
      <c r="C50" s="9">
        <v>466000</v>
      </c>
      <c r="D50" s="9">
        <v>8</v>
      </c>
      <c r="E50" s="9">
        <f t="shared" si="5"/>
        <v>3.01911240686751</v>
      </c>
      <c r="F50" s="9">
        <v>320</v>
      </c>
      <c r="G50" s="6">
        <v>100</v>
      </c>
      <c r="H50" s="6">
        <v>3987</v>
      </c>
      <c r="I50" s="6">
        <f t="shared" si="6"/>
        <v>125.1918</v>
      </c>
      <c r="J50" s="6">
        <v>3.5</v>
      </c>
      <c r="K50" s="6">
        <f t="shared" si="7"/>
        <v>475.72884</v>
      </c>
      <c r="L50">
        <f t="shared" si="8"/>
        <v>0</v>
      </c>
    </row>
    <row r="51" spans="1:12">
      <c r="A51" s="22"/>
      <c r="B51" s="22"/>
      <c r="C51" s="22"/>
      <c r="D51" s="22"/>
      <c r="E51" s="22"/>
      <c r="F51" s="22"/>
      <c r="G51" s="6">
        <v>100</v>
      </c>
      <c r="H51" s="6">
        <v>969</v>
      </c>
      <c r="I51" s="6">
        <f t="shared" si="6"/>
        <v>30.4266</v>
      </c>
      <c r="J51" s="6">
        <v>3.5</v>
      </c>
      <c r="K51" s="6">
        <f t="shared" si="7"/>
        <v>115.62108</v>
      </c>
      <c r="L51">
        <f t="shared" si="8"/>
        <v>0</v>
      </c>
    </row>
    <row r="54" spans="1:12">
      <c r="A54" s="23" t="s">
        <v>36</v>
      </c>
      <c r="B54" s="23" t="s">
        <v>37</v>
      </c>
      <c r="C54" s="23" t="s">
        <v>38</v>
      </c>
      <c r="D54" s="23" t="s">
        <v>39</v>
      </c>
      <c r="E54" s="23" t="s">
        <v>40</v>
      </c>
      <c r="F54" s="14" t="s">
        <v>41</v>
      </c>
      <c r="G54" s="14" t="s">
        <v>42</v>
      </c>
      <c r="H54" s="14" t="s">
        <v>43</v>
      </c>
      <c r="I54" s="26" t="s">
        <v>44</v>
      </c>
      <c r="J54" s="26" t="s">
        <v>45</v>
      </c>
      <c r="K54" s="27" t="s">
        <v>46</v>
      </c>
      <c r="L54" s="27" t="s">
        <v>47</v>
      </c>
    </row>
    <row r="55" spans="1:12">
      <c r="A55" s="23">
        <v>100</v>
      </c>
      <c r="B55" s="23">
        <v>0</v>
      </c>
      <c r="C55" s="23">
        <v>300</v>
      </c>
      <c r="D55" s="23">
        <v>500</v>
      </c>
      <c r="E55" s="23">
        <v>16</v>
      </c>
      <c r="F55" s="14" t="e">
        <f>#REF!*#REF!*3.14/4*#REF!/10000</f>
        <v>#REF!</v>
      </c>
      <c r="G55" s="14" t="s">
        <v>42</v>
      </c>
      <c r="H55" s="14" t="s">
        <v>43</v>
      </c>
      <c r="I55" s="26" t="s">
        <v>44</v>
      </c>
      <c r="J55" s="26" t="s">
        <v>45</v>
      </c>
      <c r="K55" s="27" t="s">
        <v>46</v>
      </c>
      <c r="L55" s="27" t="s">
        <v>47</v>
      </c>
    </row>
    <row r="56" spans="1:12">
      <c r="A56" s="23">
        <v>70</v>
      </c>
      <c r="B56" s="23">
        <v>0</v>
      </c>
      <c r="C56" s="23">
        <v>300</v>
      </c>
      <c r="D56" s="23">
        <v>500</v>
      </c>
      <c r="E56" s="23">
        <v>16</v>
      </c>
      <c r="F56" s="14" t="e">
        <f>#REF!*#REF!*3.14/4*#REF!/10000</f>
        <v>#REF!</v>
      </c>
      <c r="G56" s="14" t="e">
        <f>(重量!#REF!*重量!#REF!-重量!#REF!*重量!#REF!)*3.14/4*重量!#REF!/10000</f>
        <v>#REF!</v>
      </c>
      <c r="H56" s="14" t="e">
        <f>重量!#REF!*重量!#REF!*3.14/4*重量!#REF!/1000000</f>
        <v>#REF!</v>
      </c>
      <c r="I56" s="6">
        <v>192</v>
      </c>
      <c r="J56" s="6">
        <v>184</v>
      </c>
      <c r="K56" s="4" t="e">
        <f>(I56*I56-J56*J56)/(重量!#REF!*重量!#REF!*重量!#REF!)*900</f>
        <v>#REF!</v>
      </c>
      <c r="L56" s="4"/>
    </row>
    <row r="57" spans="1:12">
      <c r="A57" s="23">
        <v>10</v>
      </c>
      <c r="B57" s="23"/>
      <c r="C57" s="23">
        <v>360</v>
      </c>
      <c r="D57" s="23"/>
      <c r="E57" s="23">
        <v>16</v>
      </c>
      <c r="F57" s="14" t="e">
        <f>#REF!*#REF!*3.14/4*#REF!/10000</f>
        <v>#REF!</v>
      </c>
      <c r="G57" s="14" t="e">
        <f>(重量!#REF!*重量!#REF!-重量!#REF!*重量!#REF!)*3.14/4*重量!#REF!/10000</f>
        <v>#REF!</v>
      </c>
      <c r="H57" s="14" t="e">
        <f>重量!#REF!*重量!#REF!*3.14/4*重量!#REF!/1000000</f>
        <v>#REF!</v>
      </c>
      <c r="I57" s="6">
        <v>165</v>
      </c>
      <c r="J57" s="6">
        <v>150</v>
      </c>
      <c r="K57" s="4" t="e">
        <f>(I57*I57-J57*J57)/(重量!#REF!*重量!#REF!*重量!#REF!)*650</f>
        <v>#REF!</v>
      </c>
      <c r="L57" s="4"/>
    </row>
    <row r="58" spans="1:12">
      <c r="A58" s="23">
        <v>32</v>
      </c>
      <c r="B58" s="23">
        <v>0</v>
      </c>
      <c r="C58" s="23">
        <v>280</v>
      </c>
      <c r="D58" s="23">
        <v>500</v>
      </c>
      <c r="E58" s="23">
        <v>16</v>
      </c>
      <c r="F58" s="14" t="e">
        <f>#REF!*#REF!*3.14/4*#REF!/10000</f>
        <v>#REF!</v>
      </c>
      <c r="G58" s="14" t="e">
        <f>(重量!#REF!*重量!#REF!-重量!#REF!*重量!#REF!)*3.14/4*重量!#REF!/10000</f>
        <v>#REF!</v>
      </c>
      <c r="H58" s="14" t="e">
        <f>重量!#REF!*重量!#REF!*3.14/4*重量!#REF!/1000000</f>
        <v>#REF!</v>
      </c>
      <c r="I58" s="6">
        <v>140</v>
      </c>
      <c r="J58" s="6">
        <v>125</v>
      </c>
      <c r="K58" s="4" t="e">
        <f>(I58*I58-J58*J58)/(重量!#REF!*重量!#REF!*重量!#REF!)*650</f>
        <v>#REF!</v>
      </c>
      <c r="L58" s="4"/>
    </row>
    <row r="59" spans="1:12">
      <c r="A59" s="23"/>
      <c r="B59" s="23"/>
      <c r="C59" s="23"/>
      <c r="D59" s="23"/>
      <c r="E59" s="23"/>
      <c r="F59" s="14" t="e">
        <f>#REF!*#REF!*3.14/4*#REF!/10000</f>
        <v>#REF!</v>
      </c>
      <c r="G59" s="14" t="e">
        <f>(重量!#REF!*重量!#REF!-重量!#REF!*重量!#REF!)*3.14/4*重量!#REF!/10000</f>
        <v>#REF!</v>
      </c>
      <c r="H59" s="14" t="e">
        <f>(重量!#REF!*重量!#REF!-重量!#REF!*重量!#REF!)*3.14/4*重量!#REF!/1000000</f>
        <v>#REF!</v>
      </c>
      <c r="I59" s="6">
        <v>165</v>
      </c>
      <c r="J59" s="6">
        <v>150</v>
      </c>
      <c r="K59" s="4" t="e">
        <f>(I59*I59-J59*J59)/(重量!#REF!*重量!#REF!*重量!#REF!)*650</f>
        <v>#REF!</v>
      </c>
      <c r="L59" s="4"/>
    </row>
    <row r="60" spans="1:12">
      <c r="A60" s="24">
        <v>330</v>
      </c>
      <c r="B60">
        <v>300</v>
      </c>
      <c r="C60">
        <v>91000</v>
      </c>
      <c r="D60">
        <v>18</v>
      </c>
      <c r="E60" t="e">
        <f>C60*D60/(3.14/4*(A60*A60-B60*B60)*S60)</f>
        <v>#DIV/0!</v>
      </c>
      <c r="F60">
        <v>30</v>
      </c>
      <c r="G60" s="14" t="e">
        <f>(重量!#REF!*重量!#REF!-重量!#REF!*重量!#REF!)*3.14/4*重量!#REF!/10000</f>
        <v>#REF!</v>
      </c>
      <c r="H60" s="14" t="e">
        <f>SUM(H56:H59)</f>
        <v>#REF!</v>
      </c>
      <c r="I60" s="6"/>
      <c r="J60" s="6"/>
      <c r="K60" s="4" t="e">
        <f>(I60*I60-J60*J60)/(重量!#REF!*重量!#REF!*重量!#REF!)*650</f>
        <v>#REF!</v>
      </c>
      <c r="L60" s="4"/>
    </row>
  </sheetData>
  <mergeCells count="2">
    <mergeCell ref="G1:L1"/>
    <mergeCell ref="A40:D40"/>
  </mergeCells>
  <pageMargins left="0.75" right="0.75" top="1" bottom="1" header="0.5" footer="0.5"/>
  <pageSetup paperSize="9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重量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WPS_1727174647</cp:lastModifiedBy>
  <dcterms:created xsi:type="dcterms:W3CDTF">2024-11-20T03:04:29Z</dcterms:created>
  <dcterms:modified xsi:type="dcterms:W3CDTF">2024-11-20T03:04:29Z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BE1ED7894DDB4C11A95314D2F97A60B2_11</vt:lpwstr>
  </property>
  <property fmtid="{D5CDD505-2E9C-101B-9397-08002B2CF9AE}" pid="3" name="KSOProductBuildVer">
    <vt:lpwstr>2052-12.1.0.18912</vt:lpwstr>
  </property>
</Properties>
</file>