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参数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37" authorId="0">
      <text>
        <r>
          <rPr>
            <sz val="9"/>
            <rFont val="宋体"/>
            <charset val="134"/>
          </rPr>
          <t>末端条件系数</t>
        </r>
      </text>
    </comment>
    <comment ref="C38" authorId="0">
      <text>
        <r>
          <rPr>
            <sz val="9"/>
            <rFont val="宋体"/>
            <charset val="134"/>
          </rPr>
          <t>柔性系数，查表值</t>
        </r>
      </text>
    </comment>
    <comment ref="F42" authorId="0">
      <text>
        <r>
          <rPr>
            <sz val="9"/>
            <rFont val="宋体"/>
            <charset val="134"/>
          </rPr>
          <t>查表得值</t>
        </r>
      </text>
    </comment>
    <comment ref="F43" authorId="0">
      <text>
        <r>
          <rPr>
            <sz val="9"/>
            <rFont val="宋体"/>
            <charset val="134"/>
          </rPr>
          <t>查表得值</t>
        </r>
      </text>
    </comment>
    <comment ref="C57" authorId="0">
      <text>
        <r>
          <rPr>
            <sz val="9"/>
            <rFont val="宋体"/>
            <charset val="134"/>
          </rPr>
          <t>查表和值</t>
        </r>
      </text>
    </comment>
    <comment ref="C59" authorId="0">
      <text>
        <r>
          <rPr>
            <sz val="9"/>
            <rFont val="宋体"/>
            <charset val="134"/>
          </rPr>
          <t>杳表的值</t>
        </r>
      </text>
    </comment>
  </commentList>
</comments>
</file>

<file path=xl/sharedStrings.xml><?xml version="1.0" encoding="utf-8"?>
<sst xmlns="http://schemas.openxmlformats.org/spreadsheetml/2006/main" count="200" uniqueCount="134">
  <si>
    <t>油缸设计</t>
  </si>
  <si>
    <t>销轴强度验算</t>
  </si>
  <si>
    <t>2009.12.28</t>
  </si>
  <si>
    <t>油缸伸出（受压）</t>
  </si>
  <si>
    <t>油缸缩回（受拉）</t>
  </si>
  <si>
    <t>注：销轴材料选用42CrMo，抗拉强度σb=900MPa,屈服强度σs=650MPa，许用应力[σ]=427MPa，许用剪切应力[τ]=246MPa，许用挤压应力[σj]=597MPa</t>
  </si>
  <si>
    <t>参数</t>
  </si>
  <si>
    <t>单位</t>
  </si>
  <si>
    <t>数值</t>
  </si>
  <si>
    <t>实际取销轴直径</t>
  </si>
  <si>
    <t>mm</t>
  </si>
  <si>
    <t>计算直径</t>
  </si>
  <si>
    <t>安装长度</t>
  </si>
  <si>
    <t>单耳厚度</t>
  </si>
  <si>
    <t>计算厚度</t>
  </si>
  <si>
    <t>全伸长度</t>
  </si>
  <si>
    <t>销轴剪切应力</t>
  </si>
  <si>
    <t>Mpa</t>
  </si>
  <si>
    <t>销轴材料抗拉强度σb</t>
  </si>
  <si>
    <t>最大行程</t>
  </si>
  <si>
    <t>销轴挤压应力</t>
  </si>
  <si>
    <t>耳环材料抗拉强度σb</t>
  </si>
  <si>
    <t>缸筒内径D</t>
  </si>
  <si>
    <t>销轴安全系数</t>
  </si>
  <si>
    <t>耳环安全系数</t>
  </si>
  <si>
    <t>缸筒外径D1</t>
  </si>
  <si>
    <t>活塞杆直径d</t>
  </si>
  <si>
    <t>活塞杆内径d1</t>
  </si>
  <si>
    <t>速度/时间/流量计算</t>
  </si>
  <si>
    <t>速度比</t>
  </si>
  <si>
    <t>缩/伸</t>
  </si>
  <si>
    <t>缸径</t>
  </si>
  <si>
    <t>杆径</t>
  </si>
  <si>
    <t>行程</t>
  </si>
  <si>
    <t>伸出时有杆腔产生的流量</t>
  </si>
  <si>
    <t>最大受力</t>
  </si>
  <si>
    <t>t</t>
  </si>
  <si>
    <t>缩回时无杆腔产生的流量</t>
  </si>
  <si>
    <t>工作压力p</t>
  </si>
  <si>
    <t>MPa</t>
  </si>
  <si>
    <t>流量（伸）L/min</t>
  </si>
  <si>
    <t>容积效率</t>
  </si>
  <si>
    <t>——</t>
  </si>
  <si>
    <t>流量（缩）L/min</t>
  </si>
  <si>
    <t>线速度</t>
  </si>
  <si>
    <t>二号臂长度</t>
  </si>
  <si>
    <t>速度（伸）m/s</t>
  </si>
  <si>
    <t>缸筒壁厚δ</t>
  </si>
  <si>
    <t>速度（缩）m/s</t>
  </si>
  <si>
    <t>缸筒抗拉强度σb</t>
  </si>
  <si>
    <t>时间（伸）s</t>
  </si>
  <si>
    <t>安全系数</t>
  </si>
  <si>
    <t>时间（缩）s</t>
  </si>
  <si>
    <t>材料许用应力</t>
  </si>
  <si>
    <t xml:space="preserve">冲击压力 </t>
  </si>
  <si>
    <t>液体密度</t>
  </si>
  <si>
    <t>试验压力系数</t>
  </si>
  <si>
    <t>油管内径 mm</t>
  </si>
  <si>
    <t>管中原来的速度</t>
  </si>
  <si>
    <t>试验压力Py</t>
  </si>
  <si>
    <t>缸筒爆破压力</t>
  </si>
  <si>
    <t>缸底抗拉强度σb</t>
  </si>
  <si>
    <t>参 数</t>
  </si>
  <si>
    <t>单 耳 厚 度</t>
  </si>
  <si>
    <t>耳 环 R 弧</t>
  </si>
  <si>
    <t>L值</t>
  </si>
  <si>
    <t>缸底壁厚δ</t>
  </si>
  <si>
    <t>6.3＜p＜16MPa</t>
  </si>
  <si>
    <t>16＜p＜31.5MPa</t>
  </si>
  <si>
    <t>无衬套</t>
  </si>
  <si>
    <t>带衬套</t>
  </si>
  <si>
    <t>带球铰</t>
  </si>
  <si>
    <t>1.2d</t>
  </si>
  <si>
    <t>活塞杆应力</t>
  </si>
  <si>
    <t>尺寸值</t>
  </si>
  <si>
    <t>1.4d</t>
  </si>
  <si>
    <t>d</t>
  </si>
  <si>
    <t>导向套支撑带外径</t>
  </si>
  <si>
    <t>导向套支撑带长</t>
  </si>
  <si>
    <t>外径</t>
  </si>
  <si>
    <t>心部</t>
  </si>
  <si>
    <t>安装距</t>
  </si>
  <si>
    <t>活塞杆稳定性校核</t>
  </si>
  <si>
    <t>油缸计算长度</t>
  </si>
  <si>
    <t>l/d</t>
  </si>
  <si>
    <t>&lt;10不校核</t>
  </si>
  <si>
    <t>活塞杆断面回转半径K</t>
  </si>
  <si>
    <t>实心杆</t>
  </si>
  <si>
    <t>空心杆</t>
  </si>
  <si>
    <t>l/K</t>
  </si>
  <si>
    <t>末端条件系数</t>
  </si>
  <si>
    <t>n</t>
  </si>
  <si>
    <t>柔性系数m</t>
  </si>
  <si>
    <t>查表（中碳钢）</t>
  </si>
  <si>
    <t>活塞杆截面积A</t>
  </si>
  <si>
    <r>
      <t>mm</t>
    </r>
    <r>
      <rPr>
        <vertAlign val="superscript"/>
        <sz val="12"/>
        <color indexed="8"/>
        <rFont val="Times New Roman"/>
        <family val="1"/>
        <charset val="0"/>
      </rPr>
      <t>2</t>
    </r>
  </si>
  <si>
    <r>
      <t>稳定性校核（等截面算法</t>
    </r>
    <r>
      <rPr>
        <sz val="14"/>
        <rFont val="宋体"/>
        <charset val="134"/>
      </rPr>
      <t>-</t>
    </r>
    <r>
      <rPr>
        <b/>
        <sz val="14"/>
        <color indexed="10"/>
        <rFont val="宋体"/>
        <charset val="134"/>
      </rPr>
      <t>欧拉公式</t>
    </r>
    <r>
      <rPr>
        <sz val="14"/>
        <rFont val="宋体"/>
        <charset val="134"/>
      </rPr>
      <t>）</t>
    </r>
  </si>
  <si>
    <r>
      <t>稳定性校核（等截面算法</t>
    </r>
    <r>
      <rPr>
        <sz val="14"/>
        <rFont val="宋体"/>
        <charset val="134"/>
      </rPr>
      <t>-</t>
    </r>
    <r>
      <rPr>
        <b/>
        <sz val="14"/>
        <color indexed="10"/>
        <rFont val="宋体"/>
        <charset val="134"/>
      </rPr>
      <t>戈登-兰金公式</t>
    </r>
    <r>
      <rPr>
        <sz val="14"/>
        <rFont val="宋体"/>
        <charset val="134"/>
      </rPr>
      <t>）</t>
    </r>
  </si>
  <si>
    <t>活塞杆转动惯量</t>
  </si>
  <si>
    <t>mm4</t>
  </si>
  <si>
    <t>材料强度实验值</t>
  </si>
  <si>
    <t>Mpa(中碳钢）</t>
  </si>
  <si>
    <t>材料弹性模量E</t>
  </si>
  <si>
    <t>Pa</t>
  </si>
  <si>
    <t>试验常数</t>
  </si>
  <si>
    <t>极限载荷Pk</t>
  </si>
  <si>
    <t>kN</t>
  </si>
  <si>
    <t>KN</t>
  </si>
  <si>
    <t>受力</t>
  </si>
  <si>
    <t>耳环铜套强度计算</t>
  </si>
  <si>
    <t>非等截面算法</t>
  </si>
  <si>
    <t>耳环抗拉</t>
  </si>
  <si>
    <t>油缸受力</t>
  </si>
  <si>
    <t>直径</t>
  </si>
  <si>
    <r>
      <t>mm</t>
    </r>
    <r>
      <rPr>
        <vertAlign val="superscript"/>
        <sz val="11"/>
        <rFont val="Times New Roman"/>
        <family val="1"/>
        <charset val="0"/>
      </rPr>
      <t>4</t>
    </r>
  </si>
  <si>
    <t>缸筒转动惯量</t>
  </si>
  <si>
    <t>类型</t>
  </si>
  <si>
    <t>长度</t>
  </si>
  <si>
    <t>活塞杆的伸出长度</t>
  </si>
  <si>
    <t>一端固定，一端自由</t>
  </si>
  <si>
    <t>工作压力</t>
  </si>
  <si>
    <t>液压缸的安装长度</t>
  </si>
  <si>
    <t>两端铰接</t>
  </si>
  <si>
    <t>一端固定，一端铰接</t>
  </si>
  <si>
    <t>α</t>
  </si>
  <si>
    <t>两端固定</t>
  </si>
  <si>
    <t>β</t>
  </si>
  <si>
    <r>
      <t>形状系数</t>
    </r>
    <r>
      <rPr>
        <sz val="11"/>
        <rFont val="Times New Roman"/>
        <family val="1"/>
        <charset val="0"/>
      </rPr>
      <t>k</t>
    </r>
  </si>
  <si>
    <t>查表</t>
  </si>
  <si>
    <r>
      <t>材料弹性模量</t>
    </r>
    <r>
      <rPr>
        <sz val="11"/>
        <rFont val="Times New Roman"/>
        <family val="1"/>
        <charset val="0"/>
      </rPr>
      <t>E</t>
    </r>
  </si>
  <si>
    <r>
      <t>极限载荷</t>
    </r>
    <r>
      <rPr>
        <sz val="11"/>
        <rFont val="Times New Roman"/>
        <family val="1"/>
        <charset val="0"/>
      </rPr>
      <t>Pk</t>
    </r>
  </si>
  <si>
    <t>摄氏温度 ℃</t>
  </si>
  <si>
    <t>华氏温度 F</t>
  </si>
  <si>
    <t>尔文温度 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</si>
</sst>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0.0_ "/>
    <numFmt numFmtId="178" formatCode="0.00_ "/>
    <numFmt numFmtId="179" formatCode="0_);[Red]\(0\)"/>
    <numFmt numFmtId="180" formatCode="0.0_);[Red]\(0.0\)"/>
    <numFmt numFmtId="181" formatCode="0.00_);[Red]\(0.00\)"/>
  </numFmts>
  <fonts count="43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2"/>
      <color indexed="10"/>
      <name val="宋体"/>
      <charset val="134"/>
    </font>
    <font>
      <b/>
      <sz val="16"/>
      <name val="宋体"/>
      <charset val="134"/>
    </font>
    <font>
      <sz val="16"/>
      <color indexed="10"/>
      <name val="宋体"/>
      <charset val="134"/>
    </font>
    <font>
      <sz val="12"/>
      <color indexed="42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20"/>
      <color indexed="10"/>
      <name val="宋体"/>
      <charset val="134"/>
    </font>
    <font>
      <sz val="12"/>
      <color indexed="8"/>
      <name val="Times New Roman"/>
      <family val="1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sz val="11"/>
      <name val="Times New Roman"/>
      <family val="1"/>
      <charset val="0"/>
    </font>
    <font>
      <sz val="10"/>
      <name val="宋体"/>
      <charset val="134"/>
    </font>
    <font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Times New Roman"/>
      <family val="1"/>
      <charset val="0"/>
    </font>
    <font>
      <b/>
      <sz val="14"/>
      <color indexed="10"/>
      <name val="宋体"/>
      <charset val="134"/>
    </font>
    <font>
      <vertAlign val="superscript"/>
      <sz val="12"/>
      <color indexed="8"/>
      <name val="Times New Roman"/>
      <family val="1"/>
      <charset val="0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4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48" applyNumberFormat="0" applyAlignment="0" applyProtection="0">
      <alignment vertical="center"/>
    </xf>
    <xf numFmtId="0" fontId="29" fillId="14" borderId="49" applyNumberFormat="0" applyAlignment="0" applyProtection="0">
      <alignment vertical="center"/>
    </xf>
    <xf numFmtId="0" fontId="30" fillId="14" borderId="48" applyNumberFormat="0" applyAlignment="0" applyProtection="0">
      <alignment vertical="center"/>
    </xf>
    <xf numFmtId="0" fontId="31" fillId="15" borderId="50" applyNumberFormat="0" applyAlignment="0" applyProtection="0">
      <alignment vertical="center"/>
    </xf>
    <xf numFmtId="0" fontId="32" fillId="0" borderId="51" applyNumberFormat="0" applyFill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4" fillId="3" borderId="15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6" fontId="0" fillId="3" borderId="6" xfId="2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3" borderId="16" xfId="0" applyFill="1" applyBorder="1">
      <alignment vertical="center"/>
    </xf>
    <xf numFmtId="0" fontId="5" fillId="4" borderId="16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77" fontId="0" fillId="4" borderId="17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4" fillId="5" borderId="19" xfId="0" applyFont="1" applyFill="1" applyBorder="1">
      <alignment vertical="center"/>
    </xf>
    <xf numFmtId="0" fontId="0" fillId="0" borderId="9" xfId="0" applyNumberForma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3" borderId="20" xfId="0" applyFill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8" fontId="5" fillId="4" borderId="1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" fillId="5" borderId="0" xfId="0" applyFont="1" applyFill="1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5" fillId="3" borderId="20" xfId="0" applyFont="1" applyFill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NumberFormat="1" applyBorder="1" applyAlignment="1">
      <alignment horizontal="center" vertical="center"/>
    </xf>
    <xf numFmtId="0" fontId="1" fillId="3" borderId="6" xfId="0" applyFont="1" applyFill="1" applyBorder="1">
      <alignment vertical="center"/>
    </xf>
    <xf numFmtId="0" fontId="0" fillId="0" borderId="8" xfId="0" applyFont="1" applyBorder="1">
      <alignment vertical="center"/>
    </xf>
    <xf numFmtId="0" fontId="2" fillId="0" borderId="26" xfId="0" applyFont="1" applyFill="1" applyBorder="1" applyAlignment="1">
      <alignment horizontal="right" vertical="center"/>
    </xf>
    <xf numFmtId="177" fontId="5" fillId="4" borderId="12" xfId="0" applyNumberFormat="1" applyFont="1" applyFill="1" applyBorder="1" applyAlignment="1">
      <alignment horizontal="center" vertical="center"/>
    </xf>
    <xf numFmtId="0" fontId="5" fillId="3" borderId="6" xfId="0" applyFont="1" applyFill="1" applyBorder="1">
      <alignment vertical="center"/>
    </xf>
    <xf numFmtId="0" fontId="0" fillId="4" borderId="8" xfId="0" applyNumberFormat="1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0" fillId="3" borderId="28" xfId="0" applyFill="1" applyBorder="1">
      <alignment vertical="center"/>
    </xf>
    <xf numFmtId="177" fontId="5" fillId="4" borderId="8" xfId="0" applyNumberFormat="1" applyFon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justify"/>
    </xf>
    <xf numFmtId="0" fontId="0" fillId="0" borderId="8" xfId="0" applyNumberFormat="1" applyBorder="1" applyAlignment="1">
      <alignment horizontal="center" vertical="center"/>
    </xf>
    <xf numFmtId="0" fontId="5" fillId="3" borderId="9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1" fillId="3" borderId="9" xfId="0" applyFont="1" applyFill="1" applyBorder="1">
      <alignment vertical="center"/>
    </xf>
    <xf numFmtId="0" fontId="2" fillId="0" borderId="7" xfId="0" applyFont="1" applyFill="1" applyBorder="1" applyAlignment="1">
      <alignment horizontal="center"/>
    </xf>
    <xf numFmtId="0" fontId="0" fillId="3" borderId="30" xfId="0" applyFill="1" applyBorder="1">
      <alignment vertical="center"/>
    </xf>
    <xf numFmtId="177" fontId="5" fillId="4" borderId="7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9" xfId="0" applyFont="1" applyBorder="1">
      <alignment vertical="center"/>
    </xf>
    <xf numFmtId="0" fontId="0" fillId="3" borderId="30" xfId="0" applyFill="1" applyBorder="1">
      <alignment vertical="center"/>
    </xf>
    <xf numFmtId="177" fontId="1" fillId="7" borderId="32" xfId="0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left"/>
    </xf>
    <xf numFmtId="0" fontId="0" fillId="3" borderId="16" xfId="0" applyFill="1" applyBorder="1">
      <alignment vertical="center"/>
    </xf>
    <xf numFmtId="177" fontId="5" fillId="4" borderId="12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177" fontId="5" fillId="4" borderId="19" xfId="0" applyNumberFormat="1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0" fontId="0" fillId="3" borderId="35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left"/>
    </xf>
    <xf numFmtId="0" fontId="0" fillId="3" borderId="34" xfId="0" applyFill="1" applyBorder="1">
      <alignment vertical="center"/>
    </xf>
    <xf numFmtId="177" fontId="5" fillId="4" borderId="36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8" fillId="8" borderId="24" xfId="0" applyFont="1" applyFill="1" applyBorder="1">
      <alignment vertical="center"/>
    </xf>
    <xf numFmtId="0" fontId="8" fillId="8" borderId="0" xfId="0" applyFont="1" applyFill="1" applyBorder="1">
      <alignment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5" xfId="0" applyFont="1" applyFill="1" applyBorder="1">
      <alignment vertical="center"/>
    </xf>
    <xf numFmtId="0" fontId="4" fillId="3" borderId="9" xfId="0" applyFont="1" applyFill="1" applyBorder="1">
      <alignment vertical="center"/>
    </xf>
    <xf numFmtId="177" fontId="10" fillId="4" borderId="7" xfId="0" applyNumberFormat="1" applyFont="1" applyFill="1" applyBorder="1" applyAlignment="1">
      <alignment horizontal="left"/>
    </xf>
    <xf numFmtId="0" fontId="4" fillId="5" borderId="7" xfId="0" applyFont="1" applyFill="1" applyBorder="1">
      <alignment vertical="center"/>
    </xf>
    <xf numFmtId="0" fontId="4" fillId="3" borderId="11" xfId="0" applyFont="1" applyFill="1" applyBorder="1" applyAlignment="1">
      <alignment horizontal="left"/>
    </xf>
    <xf numFmtId="0" fontId="4" fillId="3" borderId="28" xfId="0" applyFont="1" applyFill="1" applyBorder="1">
      <alignment vertical="center"/>
    </xf>
    <xf numFmtId="177" fontId="4" fillId="4" borderId="16" xfId="0" applyNumberFormat="1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4" fillId="3" borderId="6" xfId="0" applyFont="1" applyFill="1" applyBorder="1">
      <alignment vertical="center"/>
    </xf>
    <xf numFmtId="177" fontId="10" fillId="4" borderId="6" xfId="0" applyNumberFormat="1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4" fillId="3" borderId="3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0" borderId="20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5" borderId="20" xfId="0" applyFont="1" applyFill="1" applyBorder="1" applyAlignment="1">
      <alignment horizontal="left"/>
    </xf>
    <xf numFmtId="0" fontId="4" fillId="3" borderId="7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179" fontId="10" fillId="4" borderId="7" xfId="0" applyNumberFormat="1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3" borderId="13" xfId="0" applyFont="1" applyFill="1" applyBorder="1">
      <alignment vertical="center"/>
    </xf>
    <xf numFmtId="0" fontId="4" fillId="0" borderId="8" xfId="0" applyFont="1" applyFill="1" applyBorder="1" applyAlignment="1">
      <alignment horizontal="left"/>
    </xf>
    <xf numFmtId="0" fontId="4" fillId="3" borderId="0" xfId="0" applyFont="1" applyFill="1" applyBorder="1">
      <alignment vertical="center"/>
    </xf>
    <xf numFmtId="0" fontId="4" fillId="3" borderId="12" xfId="0" applyFont="1" applyFill="1" applyBorder="1">
      <alignment vertical="center"/>
    </xf>
    <xf numFmtId="177" fontId="10" fillId="4" borderId="38" xfId="0" applyNumberFormat="1" applyFont="1" applyFill="1" applyBorder="1" applyAlignment="1">
      <alignment horizontal="left"/>
    </xf>
    <xf numFmtId="177" fontId="10" fillId="4" borderId="8" xfId="0" applyNumberFormat="1" applyFont="1" applyFill="1" applyBorder="1" applyAlignment="1">
      <alignment horizontal="left"/>
    </xf>
    <xf numFmtId="0" fontId="4" fillId="3" borderId="30" xfId="0" applyFont="1" applyFill="1" applyBorder="1">
      <alignment vertical="center"/>
    </xf>
    <xf numFmtId="0" fontId="4" fillId="3" borderId="32" xfId="0" applyFont="1" applyFill="1" applyBorder="1">
      <alignment vertical="center"/>
    </xf>
    <xf numFmtId="180" fontId="10" fillId="4" borderId="8" xfId="0" applyNumberFormat="1" applyFont="1" applyFill="1" applyBorder="1" applyAlignment="1">
      <alignment horizontal="left"/>
    </xf>
    <xf numFmtId="177" fontId="15" fillId="9" borderId="7" xfId="0" applyNumberFormat="1" applyFont="1" applyFill="1" applyBorder="1" applyAlignment="1">
      <alignment horizontal="left"/>
    </xf>
    <xf numFmtId="0" fontId="4" fillId="3" borderId="40" xfId="0" applyFont="1" applyFill="1" applyBorder="1">
      <alignment vertical="center"/>
    </xf>
    <xf numFmtId="0" fontId="4" fillId="3" borderId="34" xfId="0" applyFont="1" applyFill="1" applyBorder="1">
      <alignment vertical="center"/>
    </xf>
    <xf numFmtId="180" fontId="9" fillId="9" borderId="36" xfId="0" applyNumberFormat="1" applyFont="1" applyFill="1" applyBorder="1" applyAlignment="1">
      <alignment horizontal="left"/>
    </xf>
    <xf numFmtId="0" fontId="5" fillId="1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80" fontId="9" fillId="0" borderId="0" xfId="0" applyNumberFormat="1" applyFont="1" applyFill="1" applyBorder="1" applyAlignment="1">
      <alignment horizontal="left"/>
    </xf>
    <xf numFmtId="0" fontId="4" fillId="0" borderId="0" xfId="0" applyFo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/>
    </xf>
    <xf numFmtId="0" fontId="16" fillId="3" borderId="32" xfId="0" applyFont="1" applyFill="1" applyBorder="1" applyAlignment="1">
      <alignment horizontal="left"/>
    </xf>
    <xf numFmtId="179" fontId="10" fillId="4" borderId="25" xfId="0" applyNumberFormat="1" applyFont="1" applyFill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left"/>
    </xf>
    <xf numFmtId="179" fontId="10" fillId="4" borderId="8" xfId="0" applyNumberFormat="1" applyFont="1" applyFill="1" applyBorder="1" applyAlignment="1">
      <alignment horizontal="left"/>
    </xf>
    <xf numFmtId="0" fontId="0" fillId="4" borderId="26" xfId="0" applyFill="1" applyBorder="1">
      <alignment vertical="center"/>
    </xf>
    <xf numFmtId="0" fontId="0" fillId="4" borderId="41" xfId="0" applyFill="1" applyBorder="1">
      <alignment vertical="center"/>
    </xf>
    <xf numFmtId="0" fontId="0" fillId="6" borderId="15" xfId="0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left"/>
    </xf>
    <xf numFmtId="0" fontId="17" fillId="4" borderId="15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0" borderId="27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left"/>
    </xf>
    <xf numFmtId="178" fontId="10" fillId="4" borderId="8" xfId="0" applyNumberFormat="1" applyFont="1" applyFill="1" applyBorder="1" applyAlignment="1">
      <alignment horizontal="left"/>
    </xf>
    <xf numFmtId="0" fontId="17" fillId="4" borderId="27" xfId="0" applyFont="1" applyFill="1" applyBorder="1">
      <alignment vertical="center"/>
    </xf>
    <xf numFmtId="0" fontId="0" fillId="4" borderId="42" xfId="0" applyFill="1" applyBorder="1">
      <alignment vertical="center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>
      <alignment horizontal="left"/>
    </xf>
    <xf numFmtId="0" fontId="16" fillId="3" borderId="34" xfId="0" applyFont="1" applyFill="1" applyBorder="1" applyAlignment="1">
      <alignment horizontal="left"/>
    </xf>
    <xf numFmtId="180" fontId="9" fillId="0" borderId="42" xfId="0" applyNumberFormat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18" xfId="0" applyFont="1" applyFill="1" applyBorder="1" applyAlignment="1">
      <alignment vertical="center"/>
    </xf>
    <xf numFmtId="0" fontId="0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4" borderId="19" xfId="0" applyNumberFormat="1" applyFont="1" applyFill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0" fillId="0" borderId="32" xfId="0" applyBorder="1">
      <alignment vertical="center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2" fillId="5" borderId="0" xfId="0" applyFont="1" applyFill="1" applyBorder="1">
      <alignment vertical="center"/>
    </xf>
    <xf numFmtId="181" fontId="2" fillId="0" borderId="0" xfId="0" applyNumberFormat="1" applyFont="1" applyFill="1" applyBorder="1" applyAlignment="1">
      <alignment horizontal="center"/>
    </xf>
    <xf numFmtId="18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41" xfId="0" applyFont="1" applyFill="1" applyBorder="1">
      <alignment vertical="center"/>
    </xf>
    <xf numFmtId="0" fontId="2" fillId="0" borderId="42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18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4" borderId="4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77" fontId="2" fillId="4" borderId="7" xfId="0" applyNumberFormat="1" applyFont="1" applyFill="1" applyBorder="1" applyAlignment="1">
      <alignment horizontal="center"/>
    </xf>
    <xf numFmtId="177" fontId="2" fillId="4" borderId="8" xfId="0" applyNumberFormat="1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/>
    </xf>
    <xf numFmtId="177" fontId="2" fillId="4" borderId="42" xfId="0" applyNumberFormat="1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 vertical="center"/>
    </xf>
    <xf numFmtId="177" fontId="2" fillId="7" borderId="0" xfId="0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" fillId="11" borderId="7" xfId="0" applyFont="1" applyFill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11" borderId="35" xfId="0" applyFont="1" applyFill="1" applyBorder="1" applyAlignment="1">
      <alignment vertical="center"/>
    </xf>
    <xf numFmtId="0" fontId="0" fillId="0" borderId="43" xfId="0" applyFont="1" applyBorder="1">
      <alignment vertical="center"/>
    </xf>
    <xf numFmtId="0" fontId="0" fillId="0" borderId="44" xfId="0" applyFont="1" applyBorder="1">
      <alignment vertical="center"/>
    </xf>
    <xf numFmtId="0" fontId="0" fillId="6" borderId="8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76835</xdr:colOff>
          <xdr:row>37</xdr:row>
          <xdr:rowOff>171450</xdr:rowOff>
        </xdr:from>
        <xdr:to>
          <xdr:col>0</xdr:col>
          <xdr:colOff>428625</xdr:colOff>
          <xdr:row>39</xdr:row>
          <xdr:rowOff>47625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6835" y="7411085"/>
              <a:ext cx="35179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1009650</xdr:colOff>
          <xdr:row>41</xdr:row>
          <xdr:rowOff>38100</xdr:rowOff>
        </xdr:from>
        <xdr:to>
          <xdr:col>3</xdr:col>
          <xdr:colOff>1171575</xdr:colOff>
          <xdr:row>42</xdr:row>
          <xdr:rowOff>19050</xdr:rowOff>
        </xdr:to>
        <xdr:sp>
          <xdr:nvSpPr>
            <xdr:cNvPr id="1026" name="Object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57725" y="8166100"/>
              <a:ext cx="1619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628015</xdr:colOff>
          <xdr:row>42</xdr:row>
          <xdr:rowOff>47625</xdr:rowOff>
        </xdr:from>
        <xdr:to>
          <xdr:col>3</xdr:col>
          <xdr:colOff>781685</xdr:colOff>
          <xdr:row>43</xdr:row>
          <xdr:rowOff>28575</xdr:rowOff>
        </xdr:to>
        <xdr:sp>
          <xdr:nvSpPr>
            <xdr:cNvPr id="1027" name="Object 102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276090" y="8366125"/>
              <a:ext cx="15367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3.wmf"/><Relationship Id="rId8" Type="http://schemas.openxmlformats.org/officeDocument/2006/relationships/oleObject" Target="../embeddings/oleObject3.bin"/><Relationship Id="rId7" Type="http://schemas.openxmlformats.org/officeDocument/2006/relationships/image" Target="../media/image2.wmf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Q171"/>
  <sheetViews>
    <sheetView tabSelected="1" topLeftCell="A40" workbookViewId="0">
      <selection activeCell="H32" sqref="H32"/>
    </sheetView>
  </sheetViews>
  <sheetFormatPr defaultColWidth="9" defaultRowHeight="17.1" customHeight="1"/>
  <cols>
    <col min="1" max="1" width="19.125" style="1" customWidth="1"/>
    <col min="2" max="2" width="12.625" style="1" customWidth="1"/>
    <col min="3" max="3" width="16.125" style="1" customWidth="1"/>
    <col min="4" max="4" width="16.75" style="1" customWidth="1"/>
    <col min="5" max="5" width="18.875" style="1" customWidth="1"/>
    <col min="6" max="6" width="15.375" style="1" customWidth="1"/>
    <col min="7" max="7" width="17.5" style="1" customWidth="1"/>
    <col min="8" max="8" width="16.25" style="1" customWidth="1"/>
    <col min="9" max="9" width="10" style="1" customWidth="1"/>
    <col min="10" max="10" width="11.625" style="1" customWidth="1"/>
    <col min="11" max="16384" width="9" style="1" customWidth="1"/>
  </cols>
  <sheetData>
    <row r="1" customFormat="1" ht="15" customHeight="1" spans="1:17">
      <c r="A1" s="2" t="s">
        <v>0</v>
      </c>
      <c r="B1" s="3"/>
      <c r="C1" s="3"/>
      <c r="D1" s="4"/>
      <c r="E1" s="5" t="s">
        <v>1</v>
      </c>
      <c r="F1" s="6"/>
      <c r="G1" s="6"/>
      <c r="H1" s="5"/>
      <c r="I1" s="5"/>
      <c r="J1" s="211"/>
      <c r="K1" s="211"/>
      <c r="L1" s="211"/>
      <c r="M1" s="211"/>
      <c r="N1" s="211"/>
      <c r="O1" s="211"/>
      <c r="P1" s="211"/>
      <c r="Q1" s="211"/>
    </row>
    <row r="2" customFormat="1" ht="15" customHeight="1" spans="1:17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1"/>
      <c r="I2" s="212"/>
      <c r="J2" s="213"/>
      <c r="K2" s="213"/>
      <c r="L2" s="214"/>
      <c r="M2" s="215"/>
      <c r="N2" s="216"/>
      <c r="O2" s="216"/>
      <c r="P2" s="216"/>
      <c r="Q2" s="254"/>
    </row>
    <row r="3" customFormat="1" ht="15" customHeight="1" spans="1:9">
      <c r="A3" s="14" t="s">
        <v>6</v>
      </c>
      <c r="B3" s="15" t="s">
        <v>7</v>
      </c>
      <c r="C3" s="16" t="s">
        <v>8</v>
      </c>
      <c r="D3" s="17"/>
      <c r="E3" s="18" t="s">
        <v>9</v>
      </c>
      <c r="F3" s="18" t="s">
        <v>10</v>
      </c>
      <c r="G3" s="19">
        <v>32.3</v>
      </c>
      <c r="H3" s="20" t="s">
        <v>11</v>
      </c>
      <c r="I3" s="217">
        <f>SQRT((0.64*C13*((3.14*C7*C7)/4)/(0.6*I5/G7)))</f>
        <v>73.8225081656293</v>
      </c>
    </row>
    <row r="4" customFormat="1" ht="15" customHeight="1" spans="1:9">
      <c r="A4" s="21" t="s">
        <v>12</v>
      </c>
      <c r="B4" s="18" t="s">
        <v>10</v>
      </c>
      <c r="C4" s="22">
        <v>2918</v>
      </c>
      <c r="D4" s="23"/>
      <c r="E4" s="24" t="s">
        <v>13</v>
      </c>
      <c r="F4" s="18" t="s">
        <v>10</v>
      </c>
      <c r="G4" s="25">
        <v>63.5</v>
      </c>
      <c r="H4" s="20" t="s">
        <v>14</v>
      </c>
      <c r="I4" s="218">
        <f>(C13*3.14*C7*C7/4)/G3/(I6/I7)</f>
        <v>158.178097287086</v>
      </c>
    </row>
    <row r="5" customFormat="1" ht="15" customHeight="1" spans="1:9">
      <c r="A5" s="21" t="s">
        <v>15</v>
      </c>
      <c r="B5" s="26" t="s">
        <v>10</v>
      </c>
      <c r="C5" s="27">
        <f>C4+C6</f>
        <v>5418</v>
      </c>
      <c r="D5" s="28"/>
      <c r="E5" s="18" t="s">
        <v>16</v>
      </c>
      <c r="F5" s="18" t="s">
        <v>17</v>
      </c>
      <c r="G5" s="29">
        <f>C12*9.8*1000/(3.14*G3*G3/4)</f>
        <v>418.81229107845</v>
      </c>
      <c r="H5" s="30" t="s">
        <v>18</v>
      </c>
      <c r="I5" s="219">
        <v>590</v>
      </c>
    </row>
    <row r="6" customFormat="1" ht="15" customHeight="1" spans="1:9">
      <c r="A6" s="21" t="s">
        <v>19</v>
      </c>
      <c r="B6" s="18" t="s">
        <v>10</v>
      </c>
      <c r="C6" s="31">
        <v>2500</v>
      </c>
      <c r="D6" s="32"/>
      <c r="E6" s="18" t="s">
        <v>20</v>
      </c>
      <c r="F6" s="18" t="s">
        <v>17</v>
      </c>
      <c r="G6" s="33">
        <f>C12*9.8*1000/(G3*G4)</f>
        <v>167.231418054167</v>
      </c>
      <c r="H6" s="30" t="s">
        <v>21</v>
      </c>
      <c r="I6" s="220">
        <v>590</v>
      </c>
    </row>
    <row r="7" customFormat="1" ht="15" customHeight="1" spans="1:9">
      <c r="A7" s="21" t="s">
        <v>22</v>
      </c>
      <c r="B7" s="26" t="s">
        <v>10</v>
      </c>
      <c r="C7" s="34">
        <v>160</v>
      </c>
      <c r="D7" s="28"/>
      <c r="E7" s="35" t="s">
        <v>23</v>
      </c>
      <c r="F7" s="35"/>
      <c r="G7" s="36">
        <v>5</v>
      </c>
      <c r="H7" s="35" t="s">
        <v>24</v>
      </c>
      <c r="I7" s="36">
        <v>5</v>
      </c>
    </row>
    <row r="8" customFormat="1" ht="15" customHeight="1" spans="1:15">
      <c r="A8" s="21" t="s">
        <v>25</v>
      </c>
      <c r="B8" s="18" t="s">
        <v>10</v>
      </c>
      <c r="C8" s="31">
        <v>180</v>
      </c>
      <c r="D8" s="37"/>
      <c r="E8" s="38" t="str">
        <f>IF(AND(I5/G7&gt;G5),"   OK, 销轴计算正确","  NO, 需重新确定参数")</f>
        <v>  NO, 需重新确定参数</v>
      </c>
      <c r="F8" s="38"/>
      <c r="G8" s="39"/>
      <c r="H8" s="40"/>
      <c r="I8" s="221"/>
      <c r="J8" s="222"/>
      <c r="K8" s="222"/>
      <c r="L8" s="223"/>
      <c r="M8" s="223"/>
      <c r="N8" s="224"/>
      <c r="O8" s="224"/>
    </row>
    <row r="9" customFormat="1" ht="15" customHeight="1" spans="1:15">
      <c r="A9" s="21" t="s">
        <v>26</v>
      </c>
      <c r="B9" s="41" t="s">
        <v>10</v>
      </c>
      <c r="C9" s="34">
        <v>100</v>
      </c>
      <c r="D9" s="28"/>
      <c r="G9" s="42"/>
      <c r="H9" s="40"/>
      <c r="I9" s="221"/>
      <c r="J9" s="222"/>
      <c r="K9" s="222"/>
      <c r="L9" s="223"/>
      <c r="M9" s="223"/>
      <c r="N9" s="224"/>
      <c r="O9" s="224"/>
    </row>
    <row r="10" customFormat="1" ht="15" customHeight="1" spans="1:15">
      <c r="A10" s="21" t="s">
        <v>27</v>
      </c>
      <c r="B10" s="41" t="s">
        <v>10</v>
      </c>
      <c r="C10" s="43">
        <v>0</v>
      </c>
      <c r="D10" s="44"/>
      <c r="E10" s="45" t="s">
        <v>28</v>
      </c>
      <c r="F10" s="46"/>
      <c r="G10" s="47"/>
      <c r="H10" s="40"/>
      <c r="I10" s="221"/>
      <c r="J10" s="222"/>
      <c r="K10" s="222"/>
      <c r="L10" s="223"/>
      <c r="M10" s="223"/>
      <c r="N10" s="224"/>
      <c r="O10" s="224"/>
    </row>
    <row r="11" customFormat="1" ht="15" customHeight="1" spans="1:15">
      <c r="A11" s="21" t="s">
        <v>29</v>
      </c>
      <c r="B11" s="41" t="s">
        <v>30</v>
      </c>
      <c r="C11" s="48">
        <f>(C7*C7)/(C7*C7-C9*C9)</f>
        <v>1.64102564102564</v>
      </c>
      <c r="D11" s="49"/>
      <c r="E11" s="50" t="s">
        <v>31</v>
      </c>
      <c r="F11" s="50" t="s">
        <v>32</v>
      </c>
      <c r="G11" s="50" t="s">
        <v>33</v>
      </c>
      <c r="H11" s="51" t="s">
        <v>34</v>
      </c>
      <c r="I11" s="225">
        <f>G15*60*1000*(3.14*(C7^2-C9^2)/4/1000000)</f>
        <v>0</v>
      </c>
      <c r="J11" s="222"/>
      <c r="K11" s="222"/>
      <c r="L11" s="223"/>
      <c r="M11" s="223"/>
      <c r="N11" s="224"/>
      <c r="O11" s="224"/>
    </row>
    <row r="12" customFormat="1" ht="15" customHeight="1" spans="1:15">
      <c r="A12" s="21" t="s">
        <v>35</v>
      </c>
      <c r="B12" s="41" t="s">
        <v>36</v>
      </c>
      <c r="C12" s="52">
        <v>35</v>
      </c>
      <c r="D12" s="53">
        <f>3.14*C7*C7*C13/4</f>
        <v>602880</v>
      </c>
      <c r="E12" s="54">
        <v>125</v>
      </c>
      <c r="F12" s="54"/>
      <c r="G12" s="54">
        <v>7500</v>
      </c>
      <c r="H12" s="51" t="s">
        <v>37</v>
      </c>
      <c r="I12" s="51">
        <f>G16*60*1000*(3.14*C7^2/4/1000000)</f>
        <v>0</v>
      </c>
      <c r="J12" s="226"/>
      <c r="K12" s="226"/>
      <c r="L12" s="223"/>
      <c r="M12" s="227"/>
      <c r="N12" s="224"/>
      <c r="O12" s="224"/>
    </row>
    <row r="13" customFormat="1" ht="15" customHeight="1" spans="1:15">
      <c r="A13" s="21" t="s">
        <v>38</v>
      </c>
      <c r="B13" s="18" t="s">
        <v>39</v>
      </c>
      <c r="C13" s="55">
        <v>30</v>
      </c>
      <c r="D13" s="56"/>
      <c r="E13" s="57" t="s">
        <v>40</v>
      </c>
      <c r="F13" s="58">
        <v>1.75</v>
      </c>
      <c r="H13" s="40"/>
      <c r="I13" s="221"/>
      <c r="J13" s="222"/>
      <c r="K13" s="222"/>
      <c r="L13" s="223"/>
      <c r="M13" s="228"/>
      <c r="N13" s="224"/>
      <c r="O13" s="224"/>
    </row>
    <row r="14" customFormat="1" ht="15" customHeight="1" spans="1:15">
      <c r="A14" s="21" t="s">
        <v>41</v>
      </c>
      <c r="B14" s="41" t="s">
        <v>42</v>
      </c>
      <c r="C14" s="52">
        <v>1</v>
      </c>
      <c r="D14" s="59"/>
      <c r="E14" s="60" t="s">
        <v>43</v>
      </c>
      <c r="F14" s="61">
        <v>40</v>
      </c>
      <c r="G14">
        <f>105/60</f>
        <v>1.75</v>
      </c>
      <c r="H14" s="62" t="s">
        <v>44</v>
      </c>
      <c r="I14" s="229" t="s">
        <v>45</v>
      </c>
      <c r="J14" s="222"/>
      <c r="K14" s="222"/>
      <c r="L14" s="223"/>
      <c r="M14" s="223"/>
      <c r="N14" s="224"/>
      <c r="O14" s="224"/>
    </row>
    <row r="15" customFormat="1" ht="15" customHeight="1" spans="1:15">
      <c r="A15" s="21" t="s">
        <v>38</v>
      </c>
      <c r="B15" s="18" t="s">
        <v>39</v>
      </c>
      <c r="C15" s="63">
        <f>C12*9.8*1000*4/(3.14*C7*C7)</f>
        <v>17.0680732484076</v>
      </c>
      <c r="D15" s="59"/>
      <c r="E15" s="64" t="s">
        <v>46</v>
      </c>
      <c r="F15" s="65">
        <f>F13/60/1000/(3.14*E12^2/4/1000000)</f>
        <v>0.00237791932059448</v>
      </c>
      <c r="H15" s="66" t="e">
        <f>150/180*3.14*I15/G17</f>
        <v>#DIV/0!</v>
      </c>
      <c r="I15" s="230">
        <v>3</v>
      </c>
      <c r="J15" s="222"/>
      <c r="K15" s="222"/>
      <c r="L15" s="223"/>
      <c r="M15" s="223"/>
      <c r="N15" s="224"/>
      <c r="O15" s="224"/>
    </row>
    <row r="16" customFormat="1" ht="15" customHeight="1" spans="1:15">
      <c r="A16" s="21" t="s">
        <v>47</v>
      </c>
      <c r="B16" s="67" t="s">
        <v>10</v>
      </c>
      <c r="C16" s="68">
        <f>(C8-C7)/2</f>
        <v>10</v>
      </c>
      <c r="D16" s="59"/>
      <c r="E16" s="60" t="s">
        <v>48</v>
      </c>
      <c r="F16" s="65">
        <f>F13/60/1000/(3.14*C7^2/4/1000000)</f>
        <v>0.00145136677282378</v>
      </c>
      <c r="H16" s="40">
        <v>6</v>
      </c>
      <c r="I16" s="221"/>
      <c r="J16" s="231"/>
      <c r="K16" s="231"/>
      <c r="L16" s="223"/>
      <c r="M16" s="223"/>
      <c r="N16" s="224"/>
      <c r="O16" s="224"/>
    </row>
    <row r="17" customFormat="1" ht="15" customHeight="1" spans="1:16">
      <c r="A17" s="21" t="s">
        <v>49</v>
      </c>
      <c r="B17" s="18" t="s">
        <v>39</v>
      </c>
      <c r="C17" s="69">
        <v>980</v>
      </c>
      <c r="D17" s="70"/>
      <c r="E17" s="64" t="s">
        <v>50</v>
      </c>
      <c r="F17" s="65">
        <f>G12/F15/1000</f>
        <v>3154.01785714286</v>
      </c>
      <c r="H17" s="71"/>
      <c r="I17" s="221"/>
      <c r="J17" s="222"/>
      <c r="K17" s="222"/>
      <c r="L17" s="223"/>
      <c r="M17" s="223"/>
      <c r="N17" s="224"/>
      <c r="O17" s="224"/>
      <c r="P17" s="232"/>
    </row>
    <row r="18" customFormat="1" ht="15" customHeight="1" spans="1:16">
      <c r="A18" s="21" t="s">
        <v>51</v>
      </c>
      <c r="B18" s="41" t="s">
        <v>42</v>
      </c>
      <c r="C18" s="52">
        <v>5</v>
      </c>
      <c r="D18" s="72"/>
      <c r="E18" s="60" t="s">
        <v>52</v>
      </c>
      <c r="F18" s="65">
        <f>G12/F16/1000</f>
        <v>5167.54285714286</v>
      </c>
      <c r="H18" s="71"/>
      <c r="I18" s="221"/>
      <c r="J18" s="222"/>
      <c r="K18" s="222"/>
      <c r="L18" s="223"/>
      <c r="M18" s="223"/>
      <c r="N18" s="224"/>
      <c r="O18" s="224"/>
      <c r="P18" s="232"/>
    </row>
    <row r="19" customFormat="1" ht="15" customHeight="1" spans="1:16">
      <c r="A19" s="21" t="s">
        <v>53</v>
      </c>
      <c r="B19" s="26" t="s">
        <v>39</v>
      </c>
      <c r="C19" s="55">
        <f>C17/C18</f>
        <v>196</v>
      </c>
      <c r="D19" s="70"/>
      <c r="E19" s="64" t="s">
        <v>54</v>
      </c>
      <c r="F19" s="65">
        <f>1270*H19*H20</f>
        <v>63500</v>
      </c>
      <c r="G19" s="73" t="s">
        <v>55</v>
      </c>
      <c r="H19" s="74">
        <v>1</v>
      </c>
      <c r="I19" s="40"/>
      <c r="J19" s="222"/>
      <c r="K19" s="222"/>
      <c r="L19" s="223"/>
      <c r="M19" s="223"/>
      <c r="N19" s="224"/>
      <c r="O19" s="224"/>
      <c r="P19" s="232"/>
    </row>
    <row r="20" customFormat="1" ht="15" customHeight="1" spans="1:16">
      <c r="A20" s="21" t="s">
        <v>56</v>
      </c>
      <c r="B20" s="75" t="s">
        <v>42</v>
      </c>
      <c r="C20" s="52">
        <f>IF(C15&gt;16,1.25,1.5)</f>
        <v>1.25</v>
      </c>
      <c r="D20" s="72"/>
      <c r="E20" s="60" t="s">
        <v>57</v>
      </c>
      <c r="F20" s="65">
        <f>1000*SQRT(4*F13*F15/3.14/F17)</f>
        <v>1.2964347988039</v>
      </c>
      <c r="G20" s="76" t="s">
        <v>58</v>
      </c>
      <c r="H20" s="77">
        <v>50</v>
      </c>
      <c r="I20" s="221"/>
      <c r="J20" s="222"/>
      <c r="K20" s="222"/>
      <c r="L20" s="223"/>
      <c r="M20" s="223"/>
      <c r="N20" s="224"/>
      <c r="O20" s="224"/>
      <c r="P20" s="232"/>
    </row>
    <row r="21" customFormat="1" ht="15" customHeight="1" spans="1:16">
      <c r="A21" s="21" t="s">
        <v>59</v>
      </c>
      <c r="B21" s="41" t="s">
        <v>39</v>
      </c>
      <c r="C21" s="63">
        <f>C20*C15</f>
        <v>21.3350915605096</v>
      </c>
      <c r="D21" s="72"/>
      <c r="E21" s="18"/>
      <c r="F21" s="18"/>
      <c r="H21" s="71"/>
      <c r="I21" s="40"/>
      <c r="J21" s="222"/>
      <c r="K21" s="222"/>
      <c r="L21" s="233"/>
      <c r="M21" s="223"/>
      <c r="N21" s="234"/>
      <c r="O21" s="224"/>
      <c r="P21" s="232"/>
    </row>
    <row r="22" customFormat="1" ht="15" customHeight="1" spans="1:16">
      <c r="A22" s="21" t="s">
        <v>60</v>
      </c>
      <c r="B22" s="78" t="s">
        <v>39</v>
      </c>
      <c r="C22" s="79">
        <f>2.3*C17*LOG(C8/C7)</f>
        <v>115.297785596397</v>
      </c>
      <c r="D22" s="80"/>
      <c r="F22" s="81"/>
      <c r="G22" s="82"/>
      <c r="H22" s="71"/>
      <c r="I22" s="40"/>
      <c r="J22" s="222"/>
      <c r="K22" s="222"/>
      <c r="L22" s="233"/>
      <c r="M22" s="223"/>
      <c r="N22" s="234"/>
      <c r="O22" s="224"/>
      <c r="P22" s="232"/>
    </row>
    <row r="23" customFormat="1" ht="15" customHeight="1" spans="1:16">
      <c r="A23" s="21" t="s">
        <v>61</v>
      </c>
      <c r="B23" s="83"/>
      <c r="C23" s="84">
        <v>590</v>
      </c>
      <c r="D23" s="85"/>
      <c r="E23" s="86" t="s">
        <v>62</v>
      </c>
      <c r="F23" s="87" t="s">
        <v>63</v>
      </c>
      <c r="G23" s="88"/>
      <c r="H23" s="89" t="s">
        <v>64</v>
      </c>
      <c r="I23" s="89"/>
      <c r="J23" s="89"/>
      <c r="K23" s="235" t="s">
        <v>65</v>
      </c>
      <c r="L23" s="233"/>
      <c r="M23" s="223"/>
      <c r="N23" s="234"/>
      <c r="O23" s="224"/>
      <c r="P23" s="232"/>
    </row>
    <row r="24" customFormat="1" ht="15" customHeight="1" spans="1:16">
      <c r="A24" s="90" t="s">
        <v>66</v>
      </c>
      <c r="B24" s="91" t="s">
        <v>10</v>
      </c>
      <c r="C24" s="92">
        <f>0.433*C7*SQRT(C15/(C23/C18))</f>
        <v>26.3486958515156</v>
      </c>
      <c r="D24" s="93"/>
      <c r="E24" s="94"/>
      <c r="F24" s="95" t="s">
        <v>67</v>
      </c>
      <c r="G24" s="96" t="s">
        <v>68</v>
      </c>
      <c r="H24" s="97" t="s">
        <v>69</v>
      </c>
      <c r="I24" s="236" t="s">
        <v>70</v>
      </c>
      <c r="J24" s="237" t="s">
        <v>71</v>
      </c>
      <c r="K24" s="238" t="s">
        <v>72</v>
      </c>
      <c r="L24" s="223"/>
      <c r="M24" s="223"/>
      <c r="N24" s="224"/>
      <c r="O24" s="224"/>
      <c r="P24" s="232"/>
    </row>
    <row r="25" customFormat="1" ht="15" customHeight="1" spans="1:15">
      <c r="A25" s="98" t="s">
        <v>73</v>
      </c>
      <c r="B25" s="75" t="s">
        <v>39</v>
      </c>
      <c r="C25" s="99">
        <f>4*C12*9.8*1000/(3.14*(C9*C9-C10*C10))</f>
        <v>43.6942675159236</v>
      </c>
      <c r="D25" s="85"/>
      <c r="E25" s="100" t="s">
        <v>74</v>
      </c>
      <c r="F25" s="101" t="s">
        <v>72</v>
      </c>
      <c r="G25" s="102" t="s">
        <v>75</v>
      </c>
      <c r="H25" s="103" t="s">
        <v>76</v>
      </c>
      <c r="I25" s="239" t="s">
        <v>72</v>
      </c>
      <c r="J25" s="240" t="s">
        <v>75</v>
      </c>
      <c r="K25" s="241"/>
      <c r="L25" s="223"/>
      <c r="M25" s="223"/>
      <c r="N25" s="224"/>
      <c r="O25" s="224"/>
    </row>
    <row r="26" customFormat="1" ht="15" customHeight="1" spans="1:15">
      <c r="A26" s="104" t="s">
        <v>77</v>
      </c>
      <c r="B26" s="105" t="s">
        <v>10</v>
      </c>
      <c r="C26" s="52">
        <v>115</v>
      </c>
      <c r="D26" s="106"/>
      <c r="E26" s="107"/>
      <c r="F26" s="107"/>
      <c r="G26" s="108"/>
      <c r="H26" s="109"/>
      <c r="I26" s="242"/>
      <c r="J26" s="243"/>
      <c r="K26" s="243"/>
      <c r="L26" s="223"/>
      <c r="M26" s="223"/>
      <c r="N26" s="224"/>
      <c r="O26" s="224"/>
    </row>
    <row r="27" customFormat="1" ht="15" customHeight="1" spans="1:15">
      <c r="A27" s="110" t="s">
        <v>78</v>
      </c>
      <c r="B27" s="111" t="s">
        <v>10</v>
      </c>
      <c r="C27" s="112">
        <f>4*C12*4*9.8*1000/E27/3.14/(C26*C26-C9*C9)/0.6</f>
        <v>3.61296268865518</v>
      </c>
      <c r="D27" s="106"/>
      <c r="E27" s="107">
        <v>250</v>
      </c>
      <c r="F27" s="107"/>
      <c r="G27" s="108"/>
      <c r="H27" s="109"/>
      <c r="I27" s="242"/>
      <c r="J27" s="243"/>
      <c r="K27" s="243"/>
      <c r="L27" s="223"/>
      <c r="M27" s="223"/>
      <c r="N27" s="224"/>
      <c r="O27" s="224"/>
    </row>
    <row r="28" customFormat="1" ht="15" customHeight="1" spans="1:15">
      <c r="A28" s="1"/>
      <c r="B28" s="1"/>
      <c r="C28" s="1"/>
      <c r="D28" s="1"/>
      <c r="E28" s="107"/>
      <c r="F28" s="107"/>
      <c r="G28" s="108"/>
      <c r="H28" s="109"/>
      <c r="I28" s="242"/>
      <c r="J28" s="243"/>
      <c r="K28" s="243"/>
      <c r="L28" s="223"/>
      <c r="M28" s="223"/>
      <c r="N28" s="224"/>
      <c r="O28" s="224"/>
    </row>
    <row r="29" customFormat="1" ht="24.95" customHeight="1" spans="1:15">
      <c r="A29" s="113" t="s">
        <v>31</v>
      </c>
      <c r="B29" s="114" t="s">
        <v>79</v>
      </c>
      <c r="C29" s="115" t="s">
        <v>32</v>
      </c>
      <c r="D29" s="114" t="s">
        <v>80</v>
      </c>
      <c r="E29" s="114" t="s">
        <v>33</v>
      </c>
      <c r="F29" s="113" t="s">
        <v>81</v>
      </c>
      <c r="G29" s="114" t="s">
        <v>35</v>
      </c>
      <c r="H29" s="109"/>
      <c r="I29" s="242"/>
      <c r="J29" s="243"/>
      <c r="K29" s="243"/>
      <c r="L29" s="223"/>
      <c r="M29" s="223"/>
      <c r="N29" s="224"/>
      <c r="O29" s="224"/>
    </row>
    <row r="30" customFormat="1" ht="20.1" customHeight="1" spans="1:15">
      <c r="A30" s="116">
        <v>180</v>
      </c>
      <c r="B30" s="117">
        <v>205</v>
      </c>
      <c r="C30" s="118">
        <v>160</v>
      </c>
      <c r="D30" s="119">
        <v>130</v>
      </c>
      <c r="E30" s="120">
        <v>7300</v>
      </c>
      <c r="F30" s="121">
        <v>450</v>
      </c>
      <c r="G30" s="122">
        <v>10</v>
      </c>
      <c r="H30" s="109"/>
      <c r="I30" s="242"/>
      <c r="J30" s="243"/>
      <c r="K30" s="243"/>
      <c r="L30" s="223"/>
      <c r="M30" s="223"/>
      <c r="N30" s="224"/>
      <c r="O30" s="224"/>
    </row>
    <row r="31" customFormat="1" ht="15" customHeight="1" spans="1:15">
      <c r="A31" s="123"/>
      <c r="B31" s="124"/>
      <c r="C31" s="125"/>
      <c r="D31" s="124"/>
      <c r="E31" s="126"/>
      <c r="F31" s="126"/>
      <c r="G31" s="42"/>
      <c r="H31" s="40"/>
      <c r="I31" s="221"/>
      <c r="J31" s="231"/>
      <c r="K31" s="231"/>
      <c r="L31" s="223"/>
      <c r="M31" s="223"/>
      <c r="N31" s="224"/>
      <c r="O31" s="224"/>
    </row>
    <row r="32" customFormat="1" ht="15" customHeight="1" spans="1:13">
      <c r="A32" s="127" t="s">
        <v>82</v>
      </c>
      <c r="B32" s="128"/>
      <c r="C32" s="128"/>
      <c r="D32" s="128"/>
      <c r="E32" s="128"/>
      <c r="F32" s="129"/>
      <c r="G32" s="1"/>
      <c r="H32" s="1"/>
      <c r="I32" s="1"/>
      <c r="J32" s="1"/>
      <c r="K32" s="1"/>
      <c r="L32" s="1"/>
      <c r="M32" s="1"/>
    </row>
    <row r="33" customFormat="1" ht="15" customHeight="1" spans="1:13">
      <c r="A33" s="21" t="s">
        <v>83</v>
      </c>
      <c r="B33" s="130" t="s">
        <v>10</v>
      </c>
      <c r="C33" s="131">
        <f>E30+F30</f>
        <v>7750</v>
      </c>
      <c r="D33" s="132"/>
      <c r="E33" s="132"/>
      <c r="F33" s="133"/>
      <c r="G33" s="1"/>
      <c r="H33" s="1"/>
      <c r="I33" s="1"/>
      <c r="J33" s="1"/>
      <c r="K33" s="1"/>
      <c r="L33" s="1"/>
      <c r="M33" s="1"/>
    </row>
    <row r="34" customFormat="1" ht="15" customHeight="1" spans="1:13">
      <c r="A34" s="134" t="s">
        <v>84</v>
      </c>
      <c r="B34" s="135" t="s">
        <v>42</v>
      </c>
      <c r="C34" s="136">
        <f>C5/C9</f>
        <v>54.18</v>
      </c>
      <c r="D34" s="137" t="s">
        <v>85</v>
      </c>
      <c r="E34" s="132"/>
      <c r="F34" s="133"/>
      <c r="G34" s="1"/>
      <c r="H34" s="1"/>
      <c r="I34" s="1"/>
      <c r="J34" s="1"/>
      <c r="K34" s="1"/>
      <c r="L34" s="1"/>
      <c r="M34" s="1"/>
    </row>
    <row r="35" customFormat="1" ht="15" customHeight="1" spans="1:13">
      <c r="A35" s="138" t="s">
        <v>86</v>
      </c>
      <c r="B35" s="139" t="s">
        <v>10</v>
      </c>
      <c r="C35" s="140" t="s">
        <v>87</v>
      </c>
      <c r="D35" s="141">
        <f>SQRT(3.14*C30^4/64/(C30^2*3.14/4))</f>
        <v>40</v>
      </c>
      <c r="E35" s="142" t="s">
        <v>88</v>
      </c>
      <c r="F35" s="143">
        <f>0.25*SQRT(C30^2+D30^2)</f>
        <v>51.5388203202208</v>
      </c>
      <c r="G35" s="1"/>
      <c r="H35" s="1"/>
      <c r="I35" s="1"/>
      <c r="J35" s="1"/>
      <c r="K35" s="1"/>
      <c r="L35" s="1"/>
      <c r="M35" s="1"/>
    </row>
    <row r="36" customFormat="1" ht="15" customHeight="1" spans="1:13">
      <c r="A36" s="134" t="s">
        <v>89</v>
      </c>
      <c r="B36" s="144" t="s">
        <v>42</v>
      </c>
      <c r="C36" s="145">
        <f>C33/D35</f>
        <v>193.75</v>
      </c>
      <c r="D36" s="146"/>
      <c r="E36" s="147">
        <f>C33/F35</f>
        <v>150.372087522526</v>
      </c>
      <c r="F36" s="133"/>
      <c r="G36" s="1"/>
      <c r="H36" s="1"/>
      <c r="I36" s="1"/>
      <c r="J36" s="1"/>
      <c r="K36" s="1"/>
      <c r="L36" s="1"/>
      <c r="M36" s="1"/>
    </row>
    <row r="37" customFormat="1" ht="15" customHeight="1" spans="1:13">
      <c r="A37" s="148" t="s">
        <v>90</v>
      </c>
      <c r="B37" s="149" t="s">
        <v>91</v>
      </c>
      <c r="C37" s="150">
        <v>0.5</v>
      </c>
      <c r="D37" s="151"/>
      <c r="E37" s="152"/>
      <c r="F37" s="153"/>
      <c r="G37" s="1"/>
      <c r="H37" s="1"/>
      <c r="I37" s="1"/>
      <c r="J37" s="1"/>
      <c r="K37" s="1"/>
      <c r="L37" s="1"/>
      <c r="M37" s="1"/>
    </row>
    <row r="38" customFormat="1" ht="15" customHeight="1" spans="1:13">
      <c r="A38" s="148" t="s">
        <v>92</v>
      </c>
      <c r="B38" s="149" t="s">
        <v>93</v>
      </c>
      <c r="C38" s="154">
        <v>85</v>
      </c>
      <c r="D38" s="155" t="str">
        <f>IF(AND(C36&gt;C39),"  OK,   采用欧拉公式","  NO,   采用戈登-兰金公式计算")</f>
        <v>  OK,   采用欧拉公式</v>
      </c>
      <c r="E38" s="156"/>
      <c r="F38" s="156"/>
      <c r="G38" s="1"/>
      <c r="H38" s="1">
        <f>A30*A30*3.14*30/4</f>
        <v>763020</v>
      </c>
      <c r="I38" s="1"/>
      <c r="J38" s="1"/>
      <c r="K38" s="1"/>
      <c r="L38" s="1"/>
      <c r="M38" s="1"/>
    </row>
    <row r="39" customFormat="1" ht="15" customHeight="1" spans="1:13">
      <c r="A39" s="148"/>
      <c r="B39" s="149" t="s">
        <v>42</v>
      </c>
      <c r="C39" s="157">
        <f>C38*C37^0.5</f>
        <v>60.1040764008565</v>
      </c>
      <c r="D39" s="156"/>
      <c r="E39" s="156"/>
      <c r="F39" s="156"/>
      <c r="G39" s="1"/>
      <c r="H39" s="1"/>
      <c r="I39" s="1"/>
      <c r="J39" s="1"/>
      <c r="K39" s="1"/>
      <c r="L39" s="1"/>
      <c r="M39" s="1"/>
    </row>
    <row r="40" customFormat="1" ht="15" customHeight="1" spans="1:13">
      <c r="A40" s="158" t="s">
        <v>94</v>
      </c>
      <c r="B40" s="159" t="s">
        <v>95</v>
      </c>
      <c r="C40" s="136">
        <f>3.14*(C30^2-D30^2)/4</f>
        <v>6829.5</v>
      </c>
      <c r="D40" s="160"/>
      <c r="E40" s="161"/>
      <c r="F40" s="162"/>
      <c r="G40" s="1"/>
      <c r="H40" s="1"/>
      <c r="I40" s="1"/>
      <c r="J40" s="1"/>
      <c r="K40" s="1"/>
      <c r="L40" s="1"/>
      <c r="M40" s="1"/>
    </row>
    <row r="41" customFormat="1" ht="24.95" customHeight="1" spans="1:13">
      <c r="A41" s="163" t="s">
        <v>96</v>
      </c>
      <c r="B41" s="164"/>
      <c r="C41" s="164"/>
      <c r="D41" s="165" t="s">
        <v>97</v>
      </c>
      <c r="E41" s="166"/>
      <c r="F41" s="167"/>
      <c r="G41" s="1"/>
      <c r="H41" s="1"/>
      <c r="I41" s="1"/>
      <c r="J41" s="1"/>
      <c r="K41" s="1"/>
      <c r="L41" s="1"/>
      <c r="M41" s="1"/>
    </row>
    <row r="42" customFormat="1" ht="15" customHeight="1" spans="1:13">
      <c r="A42" s="135" t="s">
        <v>98</v>
      </c>
      <c r="B42" s="135" t="s">
        <v>99</v>
      </c>
      <c r="C42" s="168">
        <f>3.14*(C30^4-D30^4)/64</f>
        <v>18140859.375</v>
      </c>
      <c r="D42" s="135" t="s">
        <v>100</v>
      </c>
      <c r="E42" s="158" t="s">
        <v>101</v>
      </c>
      <c r="F42" s="169">
        <v>490</v>
      </c>
      <c r="G42" s="1"/>
      <c r="H42" s="1"/>
      <c r="I42" s="1"/>
      <c r="J42" s="1"/>
      <c r="K42" s="1"/>
      <c r="L42" s="1"/>
      <c r="M42" s="1"/>
    </row>
    <row r="43" customFormat="1" ht="15" customHeight="1" spans="1:13">
      <c r="A43" s="135" t="s">
        <v>102</v>
      </c>
      <c r="B43" s="135" t="s">
        <v>103</v>
      </c>
      <c r="C43" s="169">
        <v>210000000000</v>
      </c>
      <c r="D43" s="170" t="s">
        <v>104</v>
      </c>
      <c r="E43" s="158" t="s">
        <v>42</v>
      </c>
      <c r="F43" s="171">
        <f>1/5000</f>
        <v>0.0002</v>
      </c>
      <c r="G43" s="1"/>
      <c r="H43" s="1"/>
      <c r="I43" s="1"/>
      <c r="J43" s="1"/>
      <c r="K43" s="1"/>
      <c r="L43" s="1"/>
      <c r="M43" s="1"/>
    </row>
    <row r="44" customFormat="1" ht="15" customHeight="1" spans="1:13">
      <c r="A44" s="135" t="s">
        <v>105</v>
      </c>
      <c r="B44" s="135" t="s">
        <v>106</v>
      </c>
      <c r="C44" s="136">
        <f>C37*3.14^2*C43*C42/C33^2/10^9</f>
        <v>312.682119373049</v>
      </c>
      <c r="D44" s="172" t="s">
        <v>105</v>
      </c>
      <c r="E44" s="173" t="s">
        <v>107</v>
      </c>
      <c r="F44" s="174">
        <f>(F42*3.14*(C30^2-D30^2)/4)/(1+F43/C37*E36^2)/1000</f>
        <v>333.156096275474</v>
      </c>
      <c r="G44" s="1"/>
      <c r="H44" s="1"/>
      <c r="I44" s="1"/>
      <c r="J44" s="1"/>
      <c r="K44" s="1"/>
      <c r="L44" s="1"/>
      <c r="M44" s="1"/>
    </row>
    <row r="45" customFormat="1" ht="15" customHeight="1" spans="1:13">
      <c r="A45" s="135" t="s">
        <v>105</v>
      </c>
      <c r="B45" s="135" t="s">
        <v>36</v>
      </c>
      <c r="C45" s="136">
        <f>C44/9.8</f>
        <v>31.9063387115356</v>
      </c>
      <c r="D45" s="158" t="s">
        <v>105</v>
      </c>
      <c r="E45" s="158" t="s">
        <v>36</v>
      </c>
      <c r="F45" s="175">
        <f>F44/9.8</f>
        <v>33.9955200281096</v>
      </c>
      <c r="G45" s="1"/>
      <c r="H45" s="1"/>
      <c r="I45" s="1"/>
      <c r="J45" s="1"/>
      <c r="K45" s="1"/>
      <c r="L45" s="1"/>
      <c r="M45" s="1"/>
    </row>
    <row r="46" customFormat="1" ht="15" customHeight="1" spans="1:13">
      <c r="A46" s="135" t="s">
        <v>108</v>
      </c>
      <c r="B46" s="135" t="s">
        <v>36</v>
      </c>
      <c r="C46" s="136">
        <f>G30</f>
        <v>10</v>
      </c>
      <c r="D46" s="176" t="s">
        <v>108</v>
      </c>
      <c r="E46" s="177" t="s">
        <v>36</v>
      </c>
      <c r="F46" s="178">
        <f>G30</f>
        <v>10</v>
      </c>
      <c r="G46" s="1"/>
      <c r="H46" s="1"/>
      <c r="I46" s="1"/>
      <c r="J46" s="1"/>
      <c r="K46" s="1"/>
      <c r="L46" s="1"/>
      <c r="M46" s="1"/>
    </row>
    <row r="47" customFormat="1" ht="15" customHeight="1" spans="1:13">
      <c r="A47" s="135" t="s">
        <v>51</v>
      </c>
      <c r="B47" s="135" t="s">
        <v>91</v>
      </c>
      <c r="C47" s="179">
        <f>C45/C46</f>
        <v>3.19063387115356</v>
      </c>
      <c r="D47" s="180" t="s">
        <v>51</v>
      </c>
      <c r="E47" s="181" t="s">
        <v>91</v>
      </c>
      <c r="F47" s="182">
        <f>F45/F46</f>
        <v>3.39955200281096</v>
      </c>
      <c r="G47" s="1"/>
      <c r="H47" s="183" t="s">
        <v>109</v>
      </c>
      <c r="I47" s="183"/>
      <c r="J47" s="183"/>
      <c r="K47" s="183"/>
      <c r="L47" s="1"/>
      <c r="M47" s="1"/>
    </row>
    <row r="48" customFormat="1" ht="15" customHeight="1" spans="1:13">
      <c r="A48" s="184"/>
      <c r="B48" s="185"/>
      <c r="C48" s="186"/>
      <c r="D48" s="187"/>
      <c r="E48" s="187"/>
      <c r="F48" s="187"/>
      <c r="G48" s="1"/>
      <c r="H48" s="1"/>
      <c r="I48" s="1"/>
      <c r="J48" s="1"/>
      <c r="K48" s="1"/>
      <c r="L48" s="1"/>
      <c r="M48" s="1"/>
    </row>
    <row r="49" customFormat="1" ht="24.95" customHeight="1" spans="1:13">
      <c r="A49" s="188" t="s">
        <v>110</v>
      </c>
      <c r="B49" s="188"/>
      <c r="C49" s="188"/>
      <c r="D49" s="188"/>
      <c r="E49" s="188"/>
      <c r="F49" s="188"/>
      <c r="G49" s="1"/>
      <c r="H49" s="189" t="s">
        <v>111</v>
      </c>
      <c r="I49" s="244" t="s">
        <v>112</v>
      </c>
      <c r="J49" s="244" t="s">
        <v>51</v>
      </c>
      <c r="K49" s="245" t="s">
        <v>113</v>
      </c>
      <c r="L49" s="1"/>
      <c r="M49" s="1"/>
    </row>
    <row r="50" customFormat="1" ht="15" customHeight="1" spans="1:13">
      <c r="A50" s="190" t="s">
        <v>98</v>
      </c>
      <c r="B50" s="191" t="s">
        <v>114</v>
      </c>
      <c r="C50" s="192">
        <f>C42</f>
        <v>18140859.375</v>
      </c>
      <c r="D50" s="187"/>
      <c r="G50" s="1"/>
      <c r="H50" s="193">
        <v>490</v>
      </c>
      <c r="I50" s="246">
        <f>ROUND(H53*H53*I53*3.14/4,0)</f>
        <v>2178611</v>
      </c>
      <c r="J50" s="247">
        <v>3</v>
      </c>
      <c r="K50" s="248">
        <v>115</v>
      </c>
      <c r="L50" s="1"/>
      <c r="M50" s="1"/>
    </row>
    <row r="51" customFormat="1" ht="15" customHeight="1" spans="1:13">
      <c r="A51" s="21" t="s">
        <v>115</v>
      </c>
      <c r="B51" s="194" t="s">
        <v>114</v>
      </c>
      <c r="C51" s="195">
        <f>3.14*(B30^4-A30^4)/64</f>
        <v>35145461.9140625</v>
      </c>
      <c r="D51" s="187"/>
      <c r="E51" s="196" t="s">
        <v>116</v>
      </c>
      <c r="F51" s="197" t="s">
        <v>91</v>
      </c>
      <c r="G51" s="1"/>
      <c r="H51" s="198" t="s">
        <v>117</v>
      </c>
      <c r="I51" s="249">
        <f>ROUND(I50*J50/K50/H50,0)</f>
        <v>116</v>
      </c>
      <c r="J51" s="250"/>
      <c r="K51" s="251"/>
      <c r="L51" s="1"/>
      <c r="M51" s="1"/>
    </row>
    <row r="52" customFormat="1" ht="15" customHeight="1" spans="1:13">
      <c r="A52" s="21" t="s">
        <v>118</v>
      </c>
      <c r="B52" s="98" t="s">
        <v>10</v>
      </c>
      <c r="C52" s="199">
        <f>E30</f>
        <v>7300</v>
      </c>
      <c r="D52" s="187"/>
      <c r="E52" s="200" t="s">
        <v>119</v>
      </c>
      <c r="F52" s="201">
        <v>0.25</v>
      </c>
      <c r="G52" s="1"/>
      <c r="H52" s="198" t="s">
        <v>31</v>
      </c>
      <c r="I52" s="252" t="s">
        <v>120</v>
      </c>
      <c r="J52" s="1"/>
      <c r="K52" s="1"/>
      <c r="L52" s="1"/>
      <c r="M52" s="1"/>
    </row>
    <row r="53" customFormat="1" ht="15" customHeight="1" spans="1:13">
      <c r="A53" s="21" t="s">
        <v>121</v>
      </c>
      <c r="B53" s="98" t="s">
        <v>10</v>
      </c>
      <c r="C53" s="199">
        <f>F30</f>
        <v>450</v>
      </c>
      <c r="D53" s="187"/>
      <c r="E53" s="200" t="s">
        <v>122</v>
      </c>
      <c r="F53" s="201">
        <v>1</v>
      </c>
      <c r="G53" s="1"/>
      <c r="H53" s="202">
        <v>290</v>
      </c>
      <c r="I53" s="253">
        <v>33</v>
      </c>
      <c r="J53" s="1"/>
      <c r="K53" s="1"/>
      <c r="L53" s="1"/>
      <c r="M53" s="1"/>
    </row>
    <row r="54" customFormat="1" ht="15" customHeight="1" spans="1:13">
      <c r="A54" s="21" t="s">
        <v>83</v>
      </c>
      <c r="B54" s="98" t="s">
        <v>10</v>
      </c>
      <c r="C54" s="199">
        <f>C52+C53</f>
        <v>7750</v>
      </c>
      <c r="D54" s="187"/>
      <c r="E54" s="200" t="s">
        <v>123</v>
      </c>
      <c r="F54" s="201">
        <v>2</v>
      </c>
      <c r="G54" s="1"/>
      <c r="H54" s="1"/>
      <c r="I54" s="1"/>
      <c r="J54" s="1"/>
      <c r="K54" s="1"/>
      <c r="L54" s="1"/>
      <c r="M54" s="1"/>
    </row>
    <row r="55" customFormat="1" ht="15" customHeight="1" spans="1:13">
      <c r="A55" s="203" t="s">
        <v>124</v>
      </c>
      <c r="B55" s="98"/>
      <c r="C55" s="204">
        <f>SQRT(C50/C51)</f>
        <v>0.718446280281117</v>
      </c>
      <c r="D55" s="187"/>
      <c r="E55" s="205" t="s">
        <v>125</v>
      </c>
      <c r="F55" s="206">
        <v>4</v>
      </c>
      <c r="G55" s="1"/>
      <c r="H55" s="1"/>
      <c r="I55" s="1"/>
      <c r="J55" s="1"/>
      <c r="K55" s="1"/>
      <c r="L55" s="1"/>
      <c r="M55" s="1"/>
    </row>
    <row r="56" customFormat="1" ht="15" customHeight="1" spans="1:13">
      <c r="A56" s="203" t="s">
        <v>126</v>
      </c>
      <c r="B56" s="98"/>
      <c r="C56" s="204">
        <f>C52/C54</f>
        <v>0.941935483870968</v>
      </c>
      <c r="D56" s="187"/>
      <c r="E56" s="187"/>
      <c r="F56" s="187"/>
      <c r="G56" s="1"/>
      <c r="H56" s="1"/>
      <c r="I56" s="1"/>
      <c r="J56" s="1"/>
      <c r="K56" s="1"/>
      <c r="L56" s="1"/>
      <c r="M56" s="1"/>
    </row>
    <row r="57" customFormat="1" ht="15" customHeight="1" spans="1:13">
      <c r="A57" s="21" t="s">
        <v>127</v>
      </c>
      <c r="B57" s="98" t="s">
        <v>128</v>
      </c>
      <c r="C57" s="207">
        <v>0.15</v>
      </c>
      <c r="D57" s="187"/>
      <c r="E57" s="187"/>
      <c r="F57" s="187"/>
      <c r="G57" s="1"/>
      <c r="H57" s="1"/>
      <c r="I57" s="1"/>
      <c r="J57" s="1"/>
      <c r="K57" s="1"/>
      <c r="L57" s="1"/>
      <c r="M57" s="1"/>
    </row>
    <row r="58" customFormat="1" ht="15" customHeight="1" spans="1:13">
      <c r="A58" s="21" t="s">
        <v>129</v>
      </c>
      <c r="B58" s="98" t="s">
        <v>17</v>
      </c>
      <c r="C58" s="208">
        <v>210000000000</v>
      </c>
      <c r="D58" s="187"/>
      <c r="E58" s="187"/>
      <c r="F58" s="187"/>
      <c r="G58" s="1"/>
      <c r="H58" s="1"/>
      <c r="I58" s="1"/>
      <c r="J58" s="1"/>
      <c r="K58" s="1"/>
      <c r="L58" s="1"/>
      <c r="M58" s="1"/>
    </row>
    <row r="59" customFormat="1" ht="15" customHeight="1" spans="1:13">
      <c r="A59" s="21" t="s">
        <v>90</v>
      </c>
      <c r="B59" s="98" t="s">
        <v>91</v>
      </c>
      <c r="C59" s="42">
        <v>1</v>
      </c>
      <c r="D59" s="42"/>
      <c r="E59" s="42"/>
      <c r="F59" s="1"/>
      <c r="G59" s="42"/>
      <c r="H59" s="1"/>
      <c r="I59" s="1"/>
      <c r="J59" s="1"/>
      <c r="K59" s="1"/>
      <c r="L59" s="1"/>
      <c r="M59" s="1"/>
    </row>
    <row r="60" customFormat="1" ht="15" customHeight="1" spans="1:13">
      <c r="A60" s="21" t="s">
        <v>130</v>
      </c>
      <c r="B60" s="194" t="s">
        <v>106</v>
      </c>
      <c r="C60" s="175">
        <f>C57*C59*3.14^2*C58*C51/C54^2/1000000000</f>
        <v>181.733797012588</v>
      </c>
      <c r="D60" s="42"/>
      <c r="E60" s="42"/>
      <c r="F60" s="1"/>
      <c r="G60" s="42"/>
      <c r="H60" s="1"/>
      <c r="I60" s="1"/>
      <c r="J60" s="1"/>
      <c r="K60" s="1"/>
      <c r="L60" s="1"/>
      <c r="M60" s="1"/>
    </row>
    <row r="61" customFormat="1" ht="15" customHeight="1" spans="1:13">
      <c r="A61" s="21" t="s">
        <v>130</v>
      </c>
      <c r="B61" s="194" t="s">
        <v>36</v>
      </c>
      <c r="C61" s="175">
        <f>C60/9.8</f>
        <v>18.5442650012845</v>
      </c>
      <c r="D61" s="42"/>
      <c r="E61" s="42"/>
      <c r="F61" s="1"/>
      <c r="G61" s="42"/>
      <c r="H61" s="1"/>
      <c r="I61" s="1"/>
      <c r="J61" s="1"/>
      <c r="K61" s="1"/>
      <c r="L61" s="1"/>
      <c r="M61" s="1"/>
    </row>
    <row r="62" customFormat="1" ht="15" customHeight="1" spans="1:13">
      <c r="A62" s="21" t="s">
        <v>108</v>
      </c>
      <c r="B62" s="98" t="s">
        <v>36</v>
      </c>
      <c r="C62" s="178">
        <f>G30</f>
        <v>10</v>
      </c>
      <c r="D62" s="42"/>
      <c r="E62" s="42"/>
      <c r="F62" s="1"/>
      <c r="G62" s="42"/>
      <c r="H62" s="1"/>
      <c r="I62" s="1"/>
      <c r="J62" s="1"/>
      <c r="K62" s="1"/>
      <c r="L62" s="1"/>
      <c r="M62" s="1"/>
    </row>
    <row r="63" customFormat="1" ht="15" customHeight="1" spans="1:13">
      <c r="A63" s="110" t="s">
        <v>51</v>
      </c>
      <c r="B63" s="209" t="s">
        <v>91</v>
      </c>
      <c r="C63" s="210">
        <f>C61/C62</f>
        <v>1.85442650012845</v>
      </c>
      <c r="D63" s="42"/>
      <c r="E63" s="42"/>
      <c r="F63" s="1"/>
      <c r="G63" s="42"/>
      <c r="H63" s="1"/>
      <c r="I63" s="1"/>
      <c r="J63" s="1"/>
      <c r="K63" s="1"/>
      <c r="L63" s="1"/>
      <c r="M63" s="1"/>
    </row>
    <row r="64" customFormat="1" ht="15" customHeight="1" spans="1:13">
      <c r="A64" s="42"/>
      <c r="B64" s="42"/>
      <c r="C64" s="42"/>
      <c r="D64" s="42"/>
      <c r="E64" s="42"/>
      <c r="F64" s="42"/>
      <c r="G64" s="1"/>
      <c r="H64" s="1"/>
      <c r="I64" s="1"/>
      <c r="J64" s="1"/>
      <c r="K64" s="1"/>
      <c r="L64" s="1"/>
      <c r="M64" s="1"/>
    </row>
    <row r="65" ht="24.95" customHeight="1" spans="1:7">
      <c r="A65" s="206" t="s">
        <v>131</v>
      </c>
      <c r="B65" s="206" t="s">
        <v>132</v>
      </c>
      <c r="C65" s="206" t="s">
        <v>133</v>
      </c>
      <c r="D65" s="42"/>
      <c r="E65" s="42"/>
      <c r="F65" s="42"/>
      <c r="G65" s="255"/>
    </row>
    <row r="66" ht="24.95" customHeight="1" spans="1:7">
      <c r="A66" s="137">
        <f>(B66-32)*5/9</f>
        <v>93.3333333333333</v>
      </c>
      <c r="B66" s="256">
        <v>200</v>
      </c>
      <c r="C66" s="137"/>
      <c r="D66" s="42"/>
      <c r="E66" s="42"/>
      <c r="F66" s="42"/>
      <c r="G66" s="255"/>
    </row>
    <row r="67" customHeight="1" spans="1:7">
      <c r="A67" s="42"/>
      <c r="B67" s="42"/>
      <c r="C67" s="42"/>
      <c r="D67" s="42"/>
      <c r="E67" s="42"/>
      <c r="F67" s="42"/>
      <c r="G67" s="255"/>
    </row>
    <row r="68" customHeight="1" spans="1:7">
      <c r="A68" s="42"/>
      <c r="B68" s="42"/>
      <c r="C68" s="42"/>
      <c r="D68" s="42"/>
      <c r="E68" s="42"/>
      <c r="F68" s="42"/>
      <c r="G68" s="255"/>
    </row>
    <row r="69" customHeight="1" spans="1:7">
      <c r="A69" s="42"/>
      <c r="B69" s="42"/>
      <c r="C69" s="42"/>
      <c r="D69" s="42"/>
      <c r="E69" s="42"/>
      <c r="F69" s="42"/>
      <c r="G69" s="255"/>
    </row>
    <row r="70" customHeight="1" spans="1:7">
      <c r="A70" s="42"/>
      <c r="B70" s="42"/>
      <c r="C70" s="42"/>
      <c r="D70" s="42"/>
      <c r="E70" s="42"/>
      <c r="F70" s="42"/>
      <c r="G70" s="255"/>
    </row>
    <row r="71" customHeight="1" spans="1:7">
      <c r="A71" s="42"/>
      <c r="B71" s="42"/>
      <c r="C71" s="42"/>
      <c r="D71" s="42"/>
      <c r="E71" s="42"/>
      <c r="F71" s="42"/>
      <c r="G71" s="255"/>
    </row>
    <row r="72" customHeight="1" spans="1:7">
      <c r="A72" s="42"/>
      <c r="B72" s="42"/>
      <c r="C72" s="42"/>
      <c r="D72" s="42"/>
      <c r="E72" s="42"/>
      <c r="F72" s="42"/>
      <c r="G72" s="255"/>
    </row>
    <row r="73" customHeight="1" spans="1:7">
      <c r="A73" s="42"/>
      <c r="B73" s="42"/>
      <c r="C73" s="42"/>
      <c r="D73" s="42"/>
      <c r="E73" s="42"/>
      <c r="F73" s="42"/>
      <c r="G73" s="255"/>
    </row>
    <row r="74" customHeight="1" spans="1:7">
      <c r="A74" s="42"/>
      <c r="B74" s="42"/>
      <c r="C74" s="42"/>
      <c r="D74" s="42"/>
      <c r="E74" s="42"/>
      <c r="F74" s="42"/>
      <c r="G74" s="255"/>
    </row>
    <row r="75" customHeight="1" spans="1:7">
      <c r="A75" s="42"/>
      <c r="B75" s="42"/>
      <c r="C75" s="42"/>
      <c r="D75" s="42"/>
      <c r="E75" s="42"/>
      <c r="F75" s="42"/>
      <c r="G75" s="255"/>
    </row>
    <row r="76" customHeight="1" spans="1:7">
      <c r="A76" s="42"/>
      <c r="B76" s="42"/>
      <c r="C76" s="42"/>
      <c r="D76" s="42"/>
      <c r="E76" s="42"/>
      <c r="F76" s="42"/>
      <c r="G76" s="255"/>
    </row>
    <row r="77" customHeight="1" spans="1:7">
      <c r="A77" s="42"/>
      <c r="B77" s="42"/>
      <c r="C77" s="42"/>
      <c r="D77" s="42"/>
      <c r="E77" s="42"/>
      <c r="F77" s="42"/>
      <c r="G77" s="255"/>
    </row>
    <row r="78" customHeight="1" spans="1:7">
      <c r="A78" s="255"/>
      <c r="B78" s="255"/>
      <c r="C78" s="255"/>
      <c r="D78" s="255"/>
      <c r="E78" s="255"/>
      <c r="F78" s="255"/>
      <c r="G78" s="255"/>
    </row>
    <row r="79" customHeight="1" spans="1:7">
      <c r="A79" s="255"/>
      <c r="B79" s="255"/>
      <c r="C79" s="255"/>
      <c r="D79" s="255"/>
      <c r="E79" s="255"/>
      <c r="F79" s="255"/>
      <c r="G79" s="255"/>
    </row>
    <row r="80" customHeight="1" spans="1:7">
      <c r="A80" s="42"/>
      <c r="B80" s="42"/>
      <c r="C80" s="42"/>
      <c r="D80" s="42"/>
      <c r="E80" s="42"/>
      <c r="F80" s="42"/>
      <c r="G80" s="42"/>
    </row>
    <row r="81" customHeight="1" spans="1:7">
      <c r="A81" s="42"/>
      <c r="B81" s="42"/>
      <c r="C81" s="42"/>
      <c r="D81" s="42"/>
      <c r="E81" s="42"/>
      <c r="F81" s="42"/>
      <c r="G81" s="42"/>
    </row>
    <row r="82" customHeight="1" spans="1:7">
      <c r="A82" s="42"/>
      <c r="B82" s="42"/>
      <c r="C82" s="42"/>
      <c r="D82" s="42"/>
      <c r="E82" s="42"/>
      <c r="F82" s="42"/>
      <c r="G82" s="42"/>
    </row>
    <row r="83" customHeight="1" spans="1:7">
      <c r="A83" s="42"/>
      <c r="B83" s="42"/>
      <c r="C83" s="42"/>
      <c r="D83" s="42"/>
      <c r="E83" s="42"/>
      <c r="F83" s="42"/>
      <c r="G83" s="42"/>
    </row>
    <row r="84" customHeight="1" spans="1:7">
      <c r="A84" s="42"/>
      <c r="B84" s="42"/>
      <c r="C84" s="42"/>
      <c r="D84" s="42"/>
      <c r="E84" s="42"/>
      <c r="F84" s="42"/>
      <c r="G84" s="42"/>
    </row>
    <row r="85" customHeight="1" spans="1:7">
      <c r="A85" s="42"/>
      <c r="B85" s="42"/>
      <c r="C85" s="42"/>
      <c r="D85" s="42"/>
      <c r="E85" s="42"/>
      <c r="F85" s="42"/>
      <c r="G85" s="42"/>
    </row>
    <row r="86" customHeight="1" spans="1:7">
      <c r="A86" s="42"/>
      <c r="B86" s="42"/>
      <c r="C86" s="42"/>
      <c r="D86" s="42"/>
      <c r="E86" s="42"/>
      <c r="F86" s="42"/>
      <c r="G86" s="42"/>
    </row>
    <row r="87" customHeight="1" spans="1:7">
      <c r="A87" s="42"/>
      <c r="B87" s="42"/>
      <c r="C87" s="42"/>
      <c r="D87" s="42"/>
      <c r="E87" s="42"/>
      <c r="F87" s="42"/>
      <c r="G87" s="42"/>
    </row>
    <row r="88" customHeight="1" spans="1:7">
      <c r="A88" s="42"/>
      <c r="B88" s="42"/>
      <c r="C88" s="42"/>
      <c r="D88" s="42"/>
      <c r="E88" s="42"/>
      <c r="F88" s="42"/>
      <c r="G88" s="42"/>
    </row>
    <row r="89" customHeight="1" spans="1:7">
      <c r="A89" s="42"/>
      <c r="B89" s="42"/>
      <c r="C89" s="42"/>
      <c r="D89" s="42"/>
      <c r="E89" s="42"/>
      <c r="F89" s="42"/>
      <c r="G89" s="42"/>
    </row>
    <row r="90" customHeight="1" spans="1:7">
      <c r="A90" s="42"/>
      <c r="B90" s="42"/>
      <c r="C90" s="42"/>
      <c r="D90" s="42"/>
      <c r="E90" s="42"/>
      <c r="F90" s="42"/>
      <c r="G90" s="42"/>
    </row>
    <row r="91" customHeight="1" spans="1:7">
      <c r="A91" s="42"/>
      <c r="B91" s="42"/>
      <c r="C91" s="42"/>
      <c r="D91" s="42"/>
      <c r="E91" s="42"/>
      <c r="F91" s="42"/>
      <c r="G91" s="42"/>
    </row>
    <row r="92" customHeight="1" spans="1:7">
      <c r="A92" s="42"/>
      <c r="B92" s="42"/>
      <c r="C92" s="42"/>
      <c r="D92" s="42"/>
      <c r="E92" s="42"/>
      <c r="F92" s="42"/>
      <c r="G92" s="42"/>
    </row>
    <row r="93" customHeight="1" spans="1:7">
      <c r="A93" s="42"/>
      <c r="B93" s="42"/>
      <c r="C93" s="42"/>
      <c r="D93" s="42"/>
      <c r="E93" s="42"/>
      <c r="F93" s="42"/>
      <c r="G93" s="42"/>
    </row>
    <row r="94" customHeight="1" spans="1:7">
      <c r="A94" s="42"/>
      <c r="B94" s="42"/>
      <c r="C94" s="42"/>
      <c r="D94" s="42"/>
      <c r="E94" s="42"/>
      <c r="F94" s="42"/>
      <c r="G94" s="42"/>
    </row>
    <row r="95" customHeight="1" spans="1:7">
      <c r="A95" s="42"/>
      <c r="B95" s="42"/>
      <c r="C95" s="42"/>
      <c r="D95" s="42"/>
      <c r="E95" s="42"/>
      <c r="F95" s="42"/>
      <c r="G95" s="42"/>
    </row>
    <row r="96" customHeight="1" spans="1:7">
      <c r="A96" s="42"/>
      <c r="B96" s="42"/>
      <c r="C96" s="42"/>
      <c r="D96" s="42"/>
      <c r="E96" s="42"/>
      <c r="F96" s="42"/>
      <c r="G96" s="42"/>
    </row>
    <row r="97" customHeight="1" spans="1:7">
      <c r="A97" s="42"/>
      <c r="B97" s="42"/>
      <c r="C97" s="42"/>
      <c r="D97" s="42"/>
      <c r="E97" s="42"/>
      <c r="F97" s="42"/>
      <c r="G97" s="42"/>
    </row>
    <row r="98" customHeight="1" spans="1:7">
      <c r="A98" s="42"/>
      <c r="B98" s="42"/>
      <c r="C98" s="42"/>
      <c r="D98" s="42"/>
      <c r="E98" s="42"/>
      <c r="F98" s="42"/>
      <c r="G98" s="42"/>
    </row>
    <row r="99" customHeight="1" spans="1:7">
      <c r="A99" s="42"/>
      <c r="B99" s="42"/>
      <c r="C99" s="42"/>
      <c r="D99" s="42"/>
      <c r="E99" s="42"/>
      <c r="F99" s="42"/>
      <c r="G99" s="42"/>
    </row>
    <row r="100" customHeight="1" spans="1:7">
      <c r="A100" s="42"/>
      <c r="B100" s="42"/>
      <c r="C100" s="42"/>
      <c r="D100" s="42"/>
      <c r="E100" s="42"/>
      <c r="F100" s="42"/>
      <c r="G100" s="42"/>
    </row>
    <row r="101" customHeight="1" spans="1:7">
      <c r="A101" s="42"/>
      <c r="B101" s="42"/>
      <c r="C101" s="42"/>
      <c r="D101" s="42"/>
      <c r="E101" s="42"/>
      <c r="F101" s="42"/>
      <c r="G101" s="42"/>
    </row>
    <row r="102" customHeight="1" spans="1:7">
      <c r="A102" s="42"/>
      <c r="B102" s="42"/>
      <c r="C102" s="42"/>
      <c r="D102" s="42"/>
      <c r="E102" s="42"/>
      <c r="F102" s="42"/>
      <c r="G102" s="42"/>
    </row>
    <row r="103" customHeight="1" spans="1:7">
      <c r="A103" s="42"/>
      <c r="B103" s="42"/>
      <c r="C103" s="42"/>
      <c r="D103" s="42"/>
      <c r="E103" s="42"/>
      <c r="F103" s="42"/>
      <c r="G103" s="42"/>
    </row>
    <row r="104" customHeight="1" spans="1:7">
      <c r="A104" s="42"/>
      <c r="B104" s="42"/>
      <c r="C104" s="42"/>
      <c r="D104" s="42"/>
      <c r="E104" s="42"/>
      <c r="F104" s="42"/>
      <c r="G104" s="42"/>
    </row>
    <row r="105" customHeight="1" spans="1:7">
      <c r="A105" s="42"/>
      <c r="B105" s="42"/>
      <c r="C105" s="42"/>
      <c r="D105" s="42"/>
      <c r="E105" s="42"/>
      <c r="F105" s="42"/>
      <c r="G105" s="42"/>
    </row>
    <row r="106" customHeight="1" spans="1:7">
      <c r="A106" s="42"/>
      <c r="B106" s="42"/>
      <c r="C106" s="42"/>
      <c r="D106" s="42"/>
      <c r="E106" s="42"/>
      <c r="F106" s="42"/>
      <c r="G106" s="42"/>
    </row>
    <row r="107" customHeight="1" spans="1:7">
      <c r="A107" s="42"/>
      <c r="B107" s="42"/>
      <c r="C107" s="42"/>
      <c r="D107" s="42"/>
      <c r="E107" s="42"/>
      <c r="F107" s="42"/>
      <c r="G107" s="42"/>
    </row>
    <row r="108" customHeight="1" spans="1:7">
      <c r="A108" s="42"/>
      <c r="B108" s="42"/>
      <c r="C108" s="42"/>
      <c r="D108" s="42"/>
      <c r="E108" s="42"/>
      <c r="F108" s="42"/>
      <c r="G108" s="42"/>
    </row>
    <row r="109" customHeight="1" spans="1:7">
      <c r="A109" s="42"/>
      <c r="B109" s="42"/>
      <c r="C109" s="42"/>
      <c r="D109" s="42"/>
      <c r="E109" s="42"/>
      <c r="F109" s="42"/>
      <c r="G109" s="42"/>
    </row>
    <row r="110" customHeight="1" spans="1:7">
      <c r="A110" s="42"/>
      <c r="B110" s="42"/>
      <c r="C110" s="42"/>
      <c r="D110" s="42"/>
      <c r="E110" s="42"/>
      <c r="F110" s="42"/>
      <c r="G110" s="42"/>
    </row>
    <row r="111" customHeight="1" spans="1:7">
      <c r="A111" s="42"/>
      <c r="B111" s="42"/>
      <c r="C111" s="42"/>
      <c r="D111" s="42"/>
      <c r="E111" s="42"/>
      <c r="F111" s="42"/>
      <c r="G111" s="42"/>
    </row>
    <row r="112" customHeight="1" spans="1:7">
      <c r="A112" s="42"/>
      <c r="B112" s="42"/>
      <c r="C112" s="42"/>
      <c r="D112" s="42"/>
      <c r="E112" s="42"/>
      <c r="F112" s="42"/>
      <c r="G112" s="42"/>
    </row>
    <row r="113" customHeight="1" spans="1:7">
      <c r="A113" s="42"/>
      <c r="B113" s="42"/>
      <c r="C113" s="42"/>
      <c r="D113" s="42"/>
      <c r="E113" s="42"/>
      <c r="F113" s="42"/>
      <c r="G113" s="42"/>
    </row>
    <row r="114" customHeight="1" spans="1:7">
      <c r="A114" s="42"/>
      <c r="B114" s="42"/>
      <c r="C114" s="42"/>
      <c r="D114" s="42"/>
      <c r="E114" s="42"/>
      <c r="F114" s="42"/>
      <c r="G114" s="42"/>
    </row>
    <row r="115" customHeight="1" spans="1:7">
      <c r="A115" s="42"/>
      <c r="B115" s="42"/>
      <c r="C115" s="42"/>
      <c r="D115" s="42"/>
      <c r="E115" s="42"/>
      <c r="F115" s="42"/>
      <c r="G115" s="42"/>
    </row>
    <row r="116" customHeight="1" spans="1:7">
      <c r="A116" s="42"/>
      <c r="B116" s="42"/>
      <c r="C116" s="42"/>
      <c r="D116" s="42"/>
      <c r="E116" s="42"/>
      <c r="F116" s="42"/>
      <c r="G116" s="42"/>
    </row>
    <row r="117" customHeight="1" spans="1:7">
      <c r="A117" s="42"/>
      <c r="B117" s="42"/>
      <c r="C117" s="42"/>
      <c r="D117" s="42"/>
      <c r="E117" s="42"/>
      <c r="F117" s="42"/>
      <c r="G117" s="42"/>
    </row>
    <row r="118" customHeight="1" spans="1:7">
      <c r="A118" s="42"/>
      <c r="B118" s="42"/>
      <c r="C118" s="42"/>
      <c r="D118" s="42"/>
      <c r="E118" s="42"/>
      <c r="F118" s="42"/>
      <c r="G118" s="42"/>
    </row>
    <row r="119" customHeight="1" spans="1:7">
      <c r="A119" s="42"/>
      <c r="B119" s="42"/>
      <c r="C119" s="42"/>
      <c r="D119" s="42"/>
      <c r="E119" s="42"/>
      <c r="F119" s="42"/>
      <c r="G119" s="42"/>
    </row>
    <row r="120" customHeight="1" spans="1:7">
      <c r="A120" s="42"/>
      <c r="B120" s="42"/>
      <c r="C120" s="42"/>
      <c r="D120" s="42"/>
      <c r="E120" s="42"/>
      <c r="F120" s="42"/>
      <c r="G120" s="42"/>
    </row>
    <row r="121" customHeight="1" spans="1:7">
      <c r="A121" s="42"/>
      <c r="B121" s="42"/>
      <c r="C121" s="42"/>
      <c r="D121" s="42"/>
      <c r="E121" s="42"/>
      <c r="F121" s="42"/>
      <c r="G121" s="42"/>
    </row>
    <row r="122" customHeight="1" spans="1:7">
      <c r="A122" s="42"/>
      <c r="B122" s="42"/>
      <c r="C122" s="42"/>
      <c r="D122" s="42"/>
      <c r="E122" s="42"/>
      <c r="F122" s="42"/>
      <c r="G122" s="42"/>
    </row>
    <row r="123" customHeight="1" spans="1:7">
      <c r="A123" s="42"/>
      <c r="B123" s="42"/>
      <c r="C123" s="42"/>
      <c r="D123" s="42"/>
      <c r="E123" s="42"/>
      <c r="F123" s="42"/>
      <c r="G123" s="42"/>
    </row>
    <row r="124" customHeight="1" spans="1:7">
      <c r="A124" s="42"/>
      <c r="B124" s="42"/>
      <c r="C124" s="42"/>
      <c r="D124" s="42"/>
      <c r="E124" s="42"/>
      <c r="F124" s="42"/>
      <c r="G124" s="42"/>
    </row>
    <row r="125" customHeight="1" spans="1:7">
      <c r="A125" s="42"/>
      <c r="B125" s="42"/>
      <c r="C125" s="42"/>
      <c r="D125" s="42"/>
      <c r="E125" s="42"/>
      <c r="F125" s="42"/>
      <c r="G125" s="42"/>
    </row>
    <row r="126" customHeight="1" spans="1:7">
      <c r="A126" s="42"/>
      <c r="B126" s="42"/>
      <c r="C126" s="42"/>
      <c r="D126" s="42"/>
      <c r="E126" s="42"/>
      <c r="F126" s="42"/>
      <c r="G126" s="42"/>
    </row>
    <row r="127" customHeight="1" spans="1:7">
      <c r="A127" s="42"/>
      <c r="B127" s="42"/>
      <c r="C127" s="42"/>
      <c r="D127" s="42"/>
      <c r="E127" s="42"/>
      <c r="F127" s="42"/>
      <c r="G127" s="42"/>
    </row>
    <row r="128" customHeight="1" spans="1:7">
      <c r="A128" s="42"/>
      <c r="B128" s="42"/>
      <c r="C128" s="42"/>
      <c r="D128" s="42"/>
      <c r="E128" s="42"/>
      <c r="F128" s="42"/>
      <c r="G128" s="42"/>
    </row>
    <row r="129" customHeight="1" spans="1:7">
      <c r="A129" s="42"/>
      <c r="B129" s="42"/>
      <c r="C129" s="42"/>
      <c r="D129" s="42"/>
      <c r="E129" s="42"/>
      <c r="F129" s="42"/>
      <c r="G129" s="42"/>
    </row>
    <row r="130" customHeight="1" spans="1:7">
      <c r="A130" s="42"/>
      <c r="B130" s="42"/>
      <c r="C130" s="42"/>
      <c r="D130" s="42"/>
      <c r="E130" s="42"/>
      <c r="F130" s="42"/>
      <c r="G130" s="42"/>
    </row>
    <row r="131" customHeight="1" spans="1:7">
      <c r="A131" s="42"/>
      <c r="B131" s="42"/>
      <c r="C131" s="42"/>
      <c r="D131" s="42"/>
      <c r="E131" s="42"/>
      <c r="F131" s="42"/>
      <c r="G131" s="42"/>
    </row>
    <row r="132" customHeight="1" spans="1:7">
      <c r="A132" s="42"/>
      <c r="B132" s="42"/>
      <c r="C132" s="42"/>
      <c r="D132" s="42"/>
      <c r="E132" s="42"/>
      <c r="F132" s="42"/>
      <c r="G132" s="42"/>
    </row>
    <row r="133" customHeight="1" spans="1:7">
      <c r="A133" s="42"/>
      <c r="B133" s="42"/>
      <c r="C133" s="42"/>
      <c r="D133" s="42"/>
      <c r="E133" s="42"/>
      <c r="F133" s="42"/>
      <c r="G133" s="42"/>
    </row>
    <row r="134" customHeight="1" spans="1:7">
      <c r="A134" s="42"/>
      <c r="B134" s="42"/>
      <c r="C134" s="42"/>
      <c r="D134" s="42"/>
      <c r="E134" s="42"/>
      <c r="F134" s="42"/>
      <c r="G134" s="42"/>
    </row>
    <row r="135" customHeight="1" spans="1:7">
      <c r="A135" s="42"/>
      <c r="B135" s="42"/>
      <c r="C135" s="42"/>
      <c r="D135" s="42"/>
      <c r="E135" s="42"/>
      <c r="F135" s="42"/>
      <c r="G135" s="42"/>
    </row>
    <row r="136" customHeight="1" spans="1:7">
      <c r="A136" s="42"/>
      <c r="B136" s="42"/>
      <c r="C136" s="42"/>
      <c r="D136" s="42"/>
      <c r="E136" s="42"/>
      <c r="F136" s="42"/>
      <c r="G136" s="42"/>
    </row>
    <row r="137" customHeight="1" spans="1:7">
      <c r="A137" s="42"/>
      <c r="B137" s="42"/>
      <c r="C137" s="42"/>
      <c r="D137" s="42"/>
      <c r="E137" s="42"/>
      <c r="F137" s="42"/>
      <c r="G137" s="42"/>
    </row>
    <row r="138" customHeight="1" spans="1:7">
      <c r="A138" s="42"/>
      <c r="B138" s="42"/>
      <c r="C138" s="42"/>
      <c r="D138" s="42"/>
      <c r="E138" s="42"/>
      <c r="F138" s="42"/>
      <c r="G138" s="42"/>
    </row>
    <row r="139" customHeight="1" spans="1:7">
      <c r="A139" s="42"/>
      <c r="B139" s="42"/>
      <c r="C139" s="42"/>
      <c r="D139" s="42"/>
      <c r="E139" s="42"/>
      <c r="F139" s="42"/>
      <c r="G139" s="42"/>
    </row>
    <row r="140" customHeight="1" spans="1:7">
      <c r="A140" s="42"/>
      <c r="B140" s="42"/>
      <c r="C140" s="42"/>
      <c r="D140" s="42"/>
      <c r="E140" s="42"/>
      <c r="F140" s="42"/>
      <c r="G140" s="42"/>
    </row>
    <row r="141" customHeight="1" spans="1:7">
      <c r="A141" s="42"/>
      <c r="B141" s="42"/>
      <c r="C141" s="42"/>
      <c r="D141" s="42"/>
      <c r="E141" s="42"/>
      <c r="F141" s="42"/>
      <c r="G141" s="42"/>
    </row>
    <row r="142" customHeight="1" spans="1:7">
      <c r="A142" s="42"/>
      <c r="B142" s="42"/>
      <c r="C142" s="42"/>
      <c r="D142" s="42"/>
      <c r="E142" s="42"/>
      <c r="F142" s="42"/>
      <c r="G142" s="42"/>
    </row>
    <row r="143" customHeight="1" spans="1:7">
      <c r="A143" s="42"/>
      <c r="B143" s="42"/>
      <c r="C143" s="42"/>
      <c r="D143" s="42"/>
      <c r="E143" s="42"/>
      <c r="F143" s="42"/>
      <c r="G143" s="42"/>
    </row>
    <row r="144" customHeight="1" spans="1:7">
      <c r="A144" s="42"/>
      <c r="B144" s="42"/>
      <c r="C144" s="42"/>
      <c r="D144" s="42"/>
      <c r="E144" s="42"/>
      <c r="F144" s="42"/>
      <c r="G144" s="42"/>
    </row>
    <row r="145" customHeight="1" spans="1:7">
      <c r="A145" s="42"/>
      <c r="B145" s="42"/>
      <c r="C145" s="42"/>
      <c r="D145" s="42"/>
      <c r="E145" s="42"/>
      <c r="F145" s="42"/>
      <c r="G145" s="42"/>
    </row>
    <row r="146" customHeight="1" spans="1:7">
      <c r="A146" s="42"/>
      <c r="B146" s="42"/>
      <c r="C146" s="42"/>
      <c r="D146" s="42"/>
      <c r="E146" s="42"/>
      <c r="F146" s="42"/>
      <c r="G146" s="42"/>
    </row>
    <row r="147" customHeight="1" spans="1:7">
      <c r="A147" s="42"/>
      <c r="B147" s="42"/>
      <c r="C147" s="42"/>
      <c r="D147" s="42"/>
      <c r="E147" s="42"/>
      <c r="F147" s="42"/>
      <c r="G147" s="42"/>
    </row>
    <row r="148" customHeight="1" spans="1:7">
      <c r="A148" s="42"/>
      <c r="B148" s="42"/>
      <c r="C148" s="42"/>
      <c r="D148" s="42"/>
      <c r="E148" s="42"/>
      <c r="F148" s="42"/>
      <c r="G148" s="42"/>
    </row>
    <row r="149" customHeight="1" spans="1:7">
      <c r="A149" s="42"/>
      <c r="B149" s="42"/>
      <c r="C149" s="42"/>
      <c r="D149" s="42"/>
      <c r="E149" s="42"/>
      <c r="F149" s="42"/>
      <c r="G149" s="42"/>
    </row>
    <row r="150" customHeight="1" spans="1:7">
      <c r="A150" s="42"/>
      <c r="B150" s="42"/>
      <c r="C150" s="42"/>
      <c r="D150" s="42"/>
      <c r="E150" s="42"/>
      <c r="F150" s="42"/>
      <c r="G150" s="42"/>
    </row>
    <row r="151" customHeight="1" spans="1:7">
      <c r="A151" s="42"/>
      <c r="B151" s="42"/>
      <c r="C151" s="42"/>
      <c r="D151" s="42"/>
      <c r="E151" s="42"/>
      <c r="F151" s="42"/>
      <c r="G151" s="42"/>
    </row>
    <row r="152" customHeight="1" spans="1:7">
      <c r="A152" s="42"/>
      <c r="B152" s="42"/>
      <c r="C152" s="42"/>
      <c r="D152" s="42"/>
      <c r="E152" s="42"/>
      <c r="F152" s="42"/>
      <c r="G152" s="42"/>
    </row>
    <row r="153" customHeight="1" spans="1:7">
      <c r="A153" s="42"/>
      <c r="B153" s="42"/>
      <c r="C153" s="42"/>
      <c r="D153" s="42"/>
      <c r="E153" s="42"/>
      <c r="F153" s="42"/>
      <c r="G153" s="42"/>
    </row>
    <row r="154" customHeight="1" spans="1:7">
      <c r="A154" s="42"/>
      <c r="B154" s="42"/>
      <c r="C154" s="42"/>
      <c r="D154" s="42"/>
      <c r="E154" s="42"/>
      <c r="F154" s="42"/>
      <c r="G154" s="42"/>
    </row>
    <row r="155" customHeight="1" spans="1:7">
      <c r="A155" s="42"/>
      <c r="B155" s="42"/>
      <c r="C155" s="42"/>
      <c r="D155" s="42"/>
      <c r="E155" s="42"/>
      <c r="F155" s="42"/>
      <c r="G155" s="42"/>
    </row>
    <row r="156" customHeight="1" spans="1:7">
      <c r="A156" s="42"/>
      <c r="B156" s="42"/>
      <c r="C156" s="42"/>
      <c r="D156" s="42"/>
      <c r="E156" s="42"/>
      <c r="F156" s="42"/>
      <c r="G156" s="42"/>
    </row>
    <row r="157" customHeight="1" spans="1:7">
      <c r="A157" s="42"/>
      <c r="B157" s="42"/>
      <c r="C157" s="42"/>
      <c r="D157" s="42"/>
      <c r="E157" s="42"/>
      <c r="F157" s="42"/>
      <c r="G157" s="42"/>
    </row>
    <row r="158" customHeight="1" spans="1:7">
      <c r="A158" s="42"/>
      <c r="B158" s="42"/>
      <c r="C158" s="42"/>
      <c r="D158" s="42"/>
      <c r="E158" s="42"/>
      <c r="F158" s="42"/>
      <c r="G158" s="42"/>
    </row>
    <row r="159" customHeight="1" spans="1:7">
      <c r="A159" s="42"/>
      <c r="B159" s="42"/>
      <c r="C159" s="42"/>
      <c r="D159" s="42"/>
      <c r="E159" s="42"/>
      <c r="F159" s="42"/>
      <c r="G159" s="42"/>
    </row>
    <row r="160" customHeight="1" spans="1:7">
      <c r="A160" s="42"/>
      <c r="B160" s="42"/>
      <c r="C160" s="42"/>
      <c r="D160" s="42"/>
      <c r="E160" s="42"/>
      <c r="F160" s="42"/>
      <c r="G160" s="42"/>
    </row>
    <row r="161" customHeight="1" spans="1:7">
      <c r="A161" s="42"/>
      <c r="B161" s="42"/>
      <c r="C161" s="42"/>
      <c r="D161" s="42"/>
      <c r="E161" s="42"/>
      <c r="F161" s="42"/>
      <c r="G161" s="42"/>
    </row>
    <row r="162" customHeight="1" spans="1:7">
      <c r="A162" s="42"/>
      <c r="B162" s="42"/>
      <c r="C162" s="42"/>
      <c r="D162" s="42"/>
      <c r="E162" s="42"/>
      <c r="F162" s="42"/>
      <c r="G162" s="42"/>
    </row>
    <row r="163" customHeight="1" spans="1:7">
      <c r="A163" s="42"/>
      <c r="B163" s="42"/>
      <c r="C163" s="42"/>
      <c r="D163" s="42"/>
      <c r="E163" s="42"/>
      <c r="F163" s="42"/>
      <c r="G163" s="42"/>
    </row>
    <row r="164" customHeight="1" spans="1:7">
      <c r="A164" s="42"/>
      <c r="B164" s="42"/>
      <c r="C164" s="42"/>
      <c r="D164" s="42"/>
      <c r="E164" s="42"/>
      <c r="F164" s="42"/>
      <c r="G164" s="42"/>
    </row>
    <row r="165" customHeight="1" spans="1:7">
      <c r="A165" s="42"/>
      <c r="B165" s="42"/>
      <c r="C165" s="42"/>
      <c r="D165" s="42"/>
      <c r="E165" s="42"/>
      <c r="F165" s="42"/>
      <c r="G165" s="42"/>
    </row>
    <row r="166" customHeight="1" spans="1:7">
      <c r="A166" s="42"/>
      <c r="B166" s="42"/>
      <c r="C166" s="42"/>
      <c r="D166" s="42"/>
      <c r="E166" s="42"/>
      <c r="F166" s="42"/>
      <c r="G166" s="42"/>
    </row>
    <row r="167" customHeight="1" spans="1:7">
      <c r="A167" s="42"/>
      <c r="B167" s="42"/>
      <c r="C167" s="42"/>
      <c r="D167" s="42"/>
      <c r="E167" s="42"/>
      <c r="F167" s="42"/>
      <c r="G167" s="42"/>
    </row>
    <row r="168" customHeight="1" spans="1:7">
      <c r="A168" s="42"/>
      <c r="B168" s="42"/>
      <c r="C168" s="42"/>
      <c r="D168" s="42"/>
      <c r="E168" s="42"/>
      <c r="F168" s="42"/>
      <c r="G168" s="42"/>
    </row>
    <row r="169" customHeight="1" spans="1:7">
      <c r="A169" s="42"/>
      <c r="B169" s="42"/>
      <c r="C169" s="42"/>
      <c r="D169" s="42"/>
      <c r="E169" s="42"/>
      <c r="F169" s="42"/>
      <c r="G169" s="42"/>
    </row>
    <row r="170" customHeight="1" spans="1:7">
      <c r="A170" s="42"/>
      <c r="B170" s="42"/>
      <c r="C170" s="42"/>
      <c r="D170" s="42"/>
      <c r="E170" s="42"/>
      <c r="F170" s="42"/>
      <c r="G170" s="42"/>
    </row>
    <row r="171" customHeight="1" spans="1:7">
      <c r="A171" s="42"/>
      <c r="B171" s="42"/>
      <c r="C171" s="42"/>
      <c r="D171" s="42"/>
      <c r="E171" s="42"/>
      <c r="F171" s="42"/>
      <c r="G171" s="42"/>
    </row>
  </sheetData>
  <mergeCells count="17">
    <mergeCell ref="A1:D1"/>
    <mergeCell ref="E1:I1"/>
    <mergeCell ref="A2:B2"/>
    <mergeCell ref="C3:D3"/>
    <mergeCell ref="E8:G8"/>
    <mergeCell ref="E9:I9"/>
    <mergeCell ref="E10:G10"/>
    <mergeCell ref="F23:G23"/>
    <mergeCell ref="H23:J23"/>
    <mergeCell ref="A32:F32"/>
    <mergeCell ref="A41:C41"/>
    <mergeCell ref="D41:F41"/>
    <mergeCell ref="H47:K47"/>
    <mergeCell ref="A49:F49"/>
    <mergeCell ref="E23:E24"/>
    <mergeCell ref="K24:K25"/>
    <mergeCell ref="D38:F40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  <drawing r:id="rId2"/>
  <legacyDrawing r:id="rId3"/>
  <oleObjects>
    <mc:AlternateContent xmlns:mc="http://schemas.openxmlformats.org/markup-compatibility/2006">
      <mc:Choice Requires="x14">
        <oleObject shapeId="1025" progId="Equation.3" r:id="rId4">
          <objectPr defaultSize="0" r:id="rId5">
            <anchor moveWithCells="1" sizeWithCells="1">
              <from>
                <xdr:col>0</xdr:col>
                <xdr:colOff>76835</xdr:colOff>
                <xdr:row>37</xdr:row>
                <xdr:rowOff>171450</xdr:rowOff>
              </from>
              <to>
                <xdr:col>0</xdr:col>
                <xdr:colOff>428625</xdr:colOff>
                <xdr:row>39</xdr:row>
                <xdr:rowOff>47625</xdr:rowOff>
              </to>
            </anchor>
          </objectPr>
        </oleObject>
      </mc:Choice>
      <mc:Fallback>
        <oleObject shapeId="1025" progId="Equation.3" r:id="rId4"/>
      </mc:Fallback>
    </mc:AlternateContent>
    <mc:AlternateContent xmlns:mc="http://schemas.openxmlformats.org/markup-compatibility/2006">
      <mc:Choice Requires="x14">
        <oleObject shapeId="1026" progId="Equation.3" r:id="rId6">
          <objectPr defaultSize="0" r:id="rId7">
            <anchor moveWithCells="1" sizeWithCells="1">
              <from>
                <xdr:col>3</xdr:col>
                <xdr:colOff>1009650</xdr:colOff>
                <xdr:row>41</xdr:row>
                <xdr:rowOff>38100</xdr:rowOff>
              </from>
              <to>
                <xdr:col>3</xdr:col>
                <xdr:colOff>1171575</xdr:colOff>
                <xdr:row>42</xdr:row>
                <xdr:rowOff>19050</xdr:rowOff>
              </to>
            </anchor>
          </objectPr>
        </oleObject>
      </mc:Choice>
      <mc:Fallback>
        <oleObject shapeId="1026" progId="Equation.3" r:id="rId6"/>
      </mc:Fallback>
    </mc:AlternateContent>
    <mc:AlternateContent xmlns:mc="http://schemas.openxmlformats.org/markup-compatibility/2006">
      <mc:Choice Requires="x14">
        <oleObject shapeId="1027" progId="Equation.3" r:id="rId8">
          <objectPr defaultSize="0" r:id="rId9">
            <anchor moveWithCells="1" sizeWithCells="1">
              <from>
                <xdr:col>3</xdr:col>
                <xdr:colOff>628015</xdr:colOff>
                <xdr:row>42</xdr:row>
                <xdr:rowOff>47625</xdr:rowOff>
              </from>
              <to>
                <xdr:col>3</xdr:col>
                <xdr:colOff>781685</xdr:colOff>
                <xdr:row>43</xdr:row>
                <xdr:rowOff>28575</xdr:rowOff>
              </to>
            </anchor>
          </objectPr>
        </oleObject>
      </mc:Choice>
      <mc:Fallback>
        <oleObject shapeId="1027" progId="Equation.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2024-11-20T03:04:27Z</dcterms:created>
  <dcterms:modified xsi:type="dcterms:W3CDTF">2024-11-20T03:04:27Z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8AC8DED283624086B747E619009DFAA5_11</vt:lpwstr>
  </property>
  <property fmtid="{D5CDD505-2E9C-101B-9397-08002B2CF9AE}" pid="3" name="KSOProductBuildVer">
    <vt:lpwstr>2052-12.1.0.18912</vt:lpwstr>
  </property>
</Properties>
</file>